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C:\Users\jnicholas\Documents\"/>
    </mc:Choice>
  </mc:AlternateContent>
  <xr:revisionPtr revIDLastSave="0" documentId="13_ncr:1_{887E5B49-2C69-45CB-8DFA-FA9EC574B1C0}" xr6:coauthVersionLast="36" xr6:coauthVersionMax="36" xr10:uidLastSave="{00000000-0000-0000-0000-000000000000}"/>
  <bookViews>
    <workbookView xWindow="0" yWindow="0" windowWidth="15350" windowHeight="6710" firstSheet="3" xr2:uid="{00000000-000D-0000-FFFF-FFFF00000000}"/>
  </bookViews>
  <sheets>
    <sheet name="Allocation Model Summary" sheetId="19" r:id="rId1"/>
    <sheet name="Allocation Model Detail" sheetId="18" r:id="rId2"/>
    <sheet name="District Summary 21-22" sheetId="14" r:id="rId3"/>
    <sheet name="LPC 21-22" sheetId="12" r:id="rId4"/>
    <sheet name="CC 21-22" sheetId="11" r:id="rId5"/>
    <sheet name="CLPCCD 21-22" sheetId="5" r:id="rId6"/>
    <sheet name="Success Allocation" sheetId="17" r:id="rId7"/>
    <sheet name="Supplemental Allocation" sheetId="16" r:id="rId8"/>
    <sheet name="FTES Allocation" sheetId="4" r:id="rId9"/>
    <sheet name="Variable Table" sheetId="15" r:id="rId10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9" l="1"/>
  <c r="C41" i="19"/>
  <c r="E48" i="19" l="1"/>
  <c r="C48" i="19"/>
  <c r="I48" i="19"/>
  <c r="F31" i="4"/>
  <c r="F20" i="4"/>
  <c r="J39" i="19"/>
  <c r="I31" i="19"/>
  <c r="I38" i="19" s="1"/>
  <c r="J25" i="19"/>
  <c r="J26" i="19"/>
  <c r="E23" i="19"/>
  <c r="C23" i="19"/>
  <c r="I31" i="18"/>
  <c r="K31" i="18" s="1"/>
  <c r="I30" i="18"/>
  <c r="G31" i="18"/>
  <c r="C24" i="19" s="1"/>
  <c r="G30" i="18"/>
  <c r="E24" i="19" l="1"/>
  <c r="J24" i="19" s="1"/>
  <c r="K30" i="18"/>
  <c r="K67" i="18" l="1"/>
  <c r="J18" i="19" l="1"/>
  <c r="G38" i="19" s="1"/>
  <c r="K55" i="18"/>
  <c r="K54" i="18"/>
  <c r="K51" i="18"/>
  <c r="K50" i="18"/>
  <c r="B57" i="15"/>
  <c r="B53" i="15"/>
  <c r="G48" i="19" l="1"/>
  <c r="C5" i="14" l="1"/>
  <c r="C6" i="14" s="1"/>
  <c r="D5" i="14"/>
  <c r="D6" i="14" s="1"/>
  <c r="E6" i="14"/>
  <c r="E5" i="14"/>
  <c r="F5" i="14"/>
  <c r="H14" i="16" l="1"/>
  <c r="B14" i="16"/>
  <c r="B8" i="16"/>
  <c r="O17" i="16" l="1"/>
  <c r="N17" i="16"/>
  <c r="P17" i="16" l="1"/>
  <c r="H18" i="18"/>
  <c r="J55" i="17" l="1"/>
  <c r="J18" i="17" s="1"/>
  <c r="J65" i="17"/>
  <c r="J28" i="17" s="1"/>
  <c r="J46" i="17"/>
  <c r="J50" i="17"/>
  <c r="J56" i="17"/>
  <c r="J66" i="17"/>
  <c r="J47" i="17"/>
  <c r="J49" i="17"/>
  <c r="J60" i="17"/>
  <c r="J51" i="17"/>
  <c r="J71" i="17"/>
  <c r="J34" i="17" s="1"/>
  <c r="J72" i="17"/>
  <c r="J57" i="17"/>
  <c r="J67" i="17"/>
  <c r="K30" i="17" s="1"/>
  <c r="J48" i="17"/>
  <c r="J68" i="17"/>
  <c r="J31" i="17" s="1"/>
  <c r="J69" i="17"/>
  <c r="J70" i="17"/>
  <c r="J61" i="17"/>
  <c r="J52" i="17"/>
  <c r="J45" i="17"/>
  <c r="J8" i="17" s="1"/>
  <c r="J58" i="17"/>
  <c r="J59" i="17"/>
  <c r="J62" i="17"/>
  <c r="K35" i="18"/>
  <c r="I37" i="18"/>
  <c r="K37" i="18"/>
  <c r="K6" i="18"/>
  <c r="F63" i="5"/>
  <c r="E13" i="12"/>
  <c r="E12" i="12"/>
  <c r="E10" i="12"/>
  <c r="E13" i="11"/>
  <c r="E12" i="11"/>
  <c r="E10" i="11"/>
  <c r="J30" i="17"/>
  <c r="K33" i="17"/>
  <c r="K35" i="17"/>
  <c r="K8" i="17"/>
  <c r="F9" i="17"/>
  <c r="G9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F25" i="17"/>
  <c r="G25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G8" i="17"/>
  <c r="F8" i="17"/>
  <c r="C9" i="17"/>
  <c r="C10" i="17"/>
  <c r="C11" i="17"/>
  <c r="C12" i="17"/>
  <c r="C13" i="17"/>
  <c r="C14" i="17"/>
  <c r="C15" i="17"/>
  <c r="C18" i="17"/>
  <c r="C19" i="17"/>
  <c r="C20" i="17"/>
  <c r="C21" i="17"/>
  <c r="C22" i="17"/>
  <c r="C23" i="17"/>
  <c r="C24" i="17"/>
  <c r="C25" i="17"/>
  <c r="C28" i="17"/>
  <c r="C29" i="17"/>
  <c r="C30" i="17"/>
  <c r="C31" i="17"/>
  <c r="C32" i="17"/>
  <c r="C33" i="17"/>
  <c r="C34" i="17"/>
  <c r="C35" i="17"/>
  <c r="C8" i="17"/>
  <c r="B9" i="17"/>
  <c r="B10" i="17"/>
  <c r="B11" i="17"/>
  <c r="B12" i="17"/>
  <c r="B13" i="17"/>
  <c r="B14" i="17"/>
  <c r="B15" i="17"/>
  <c r="B18" i="17"/>
  <c r="B19" i="17"/>
  <c r="B20" i="17"/>
  <c r="B21" i="17"/>
  <c r="B22" i="17"/>
  <c r="B23" i="17"/>
  <c r="B24" i="17"/>
  <c r="B25" i="17"/>
  <c r="B28" i="17"/>
  <c r="B29" i="17"/>
  <c r="B30" i="17"/>
  <c r="B31" i="17"/>
  <c r="B32" i="17"/>
  <c r="B33" i="17"/>
  <c r="B34" i="17"/>
  <c r="B35" i="17"/>
  <c r="B8" i="17"/>
  <c r="K18" i="17"/>
  <c r="K28" i="17"/>
  <c r="O28" i="17" s="1"/>
  <c r="C51" i="12" s="1"/>
  <c r="J29" i="17"/>
  <c r="K32" i="17"/>
  <c r="J33" i="17"/>
  <c r="K34" i="17"/>
  <c r="J35" i="17"/>
  <c r="O18" i="17" l="1"/>
  <c r="C40" i="12" s="1"/>
  <c r="J25" i="17"/>
  <c r="K25" i="17"/>
  <c r="O25" i="17" s="1"/>
  <c r="C47" i="12" s="1"/>
  <c r="K12" i="17"/>
  <c r="J12" i="17"/>
  <c r="N12" i="17" s="1"/>
  <c r="C33" i="11" s="1"/>
  <c r="J20" i="17"/>
  <c r="N20" i="17" s="1"/>
  <c r="C42" i="11" s="1"/>
  <c r="K20" i="17"/>
  <c r="O20" i="17" s="1"/>
  <c r="C42" i="12" s="1"/>
  <c r="J19" i="17"/>
  <c r="N19" i="17" s="1"/>
  <c r="C41" i="11" s="1"/>
  <c r="K19" i="17"/>
  <c r="O19" i="17" s="1"/>
  <c r="C41" i="12" s="1"/>
  <c r="J15" i="17"/>
  <c r="N15" i="17" s="1"/>
  <c r="C36" i="11" s="1"/>
  <c r="K15" i="17"/>
  <c r="O15" i="17" s="1"/>
  <c r="C36" i="12" s="1"/>
  <c r="K13" i="17"/>
  <c r="J13" i="17"/>
  <c r="N13" i="17" s="1"/>
  <c r="C34" i="11" s="1"/>
  <c r="J10" i="17"/>
  <c r="N10" i="17" s="1"/>
  <c r="C31" i="11" s="1"/>
  <c r="K10" i="17"/>
  <c r="K21" i="17"/>
  <c r="O21" i="17" s="1"/>
  <c r="C43" i="12" s="1"/>
  <c r="J21" i="17"/>
  <c r="J24" i="17"/>
  <c r="N24" i="17" s="1"/>
  <c r="C46" i="11" s="1"/>
  <c r="K24" i="17"/>
  <c r="O24" i="17" s="1"/>
  <c r="C46" i="12" s="1"/>
  <c r="J9" i="17"/>
  <c r="N9" i="17" s="1"/>
  <c r="C30" i="11" s="1"/>
  <c r="K9" i="17"/>
  <c r="O12" i="17"/>
  <c r="C33" i="12" s="1"/>
  <c r="J11" i="17"/>
  <c r="N11" i="17" s="1"/>
  <c r="C32" i="11" s="1"/>
  <c r="K11" i="17"/>
  <c r="O11" i="17" s="1"/>
  <c r="C32" i="12" s="1"/>
  <c r="J14" i="17"/>
  <c r="K14" i="17"/>
  <c r="O14" i="17" s="1"/>
  <c r="C35" i="12" s="1"/>
  <c r="J22" i="17"/>
  <c r="N22" i="17" s="1"/>
  <c r="C44" i="11" s="1"/>
  <c r="K22" i="17"/>
  <c r="O22" i="17" s="1"/>
  <c r="C44" i="12" s="1"/>
  <c r="K23" i="17"/>
  <c r="J23" i="17"/>
  <c r="N23" i="17" s="1"/>
  <c r="C45" i="11" s="1"/>
  <c r="O10" i="17"/>
  <c r="C31" i="12" s="1"/>
  <c r="N8" i="17"/>
  <c r="C29" i="11" s="1"/>
  <c r="O32" i="17"/>
  <c r="C55" i="12" s="1"/>
  <c r="N29" i="17"/>
  <c r="C52" i="11" s="1"/>
  <c r="N33" i="17"/>
  <c r="C56" i="11" s="1"/>
  <c r="O35" i="17"/>
  <c r="C58" i="12" s="1"/>
  <c r="O34" i="17"/>
  <c r="C57" i="12" s="1"/>
  <c r="O30" i="17"/>
  <c r="C53" i="12" s="1"/>
  <c r="O8" i="17"/>
  <c r="C29" i="12" s="1"/>
  <c r="O33" i="17"/>
  <c r="C56" i="12" s="1"/>
  <c r="N18" i="17"/>
  <c r="C40" i="11" s="1"/>
  <c r="N34" i="17"/>
  <c r="C57" i="11" s="1"/>
  <c r="N25" i="17"/>
  <c r="C47" i="11" s="1"/>
  <c r="N35" i="17"/>
  <c r="C58" i="11" s="1"/>
  <c r="N30" i="17"/>
  <c r="C53" i="11" s="1"/>
  <c r="K29" i="17"/>
  <c r="O29" i="17" s="1"/>
  <c r="C52" i="12" s="1"/>
  <c r="N21" i="17"/>
  <c r="C43" i="11" s="1"/>
  <c r="J32" i="17"/>
  <c r="N32" i="17" s="1"/>
  <c r="C55" i="11" s="1"/>
  <c r="N28" i="17"/>
  <c r="C51" i="11" s="1"/>
  <c r="C51" i="5" s="1"/>
  <c r="O23" i="17"/>
  <c r="C45" i="12" s="1"/>
  <c r="N14" i="17"/>
  <c r="C35" i="11" s="1"/>
  <c r="N31" i="17"/>
  <c r="C54" i="11" s="1"/>
  <c r="K31" i="17"/>
  <c r="O31" i="17" s="1"/>
  <c r="C54" i="12" s="1"/>
  <c r="O13" i="17"/>
  <c r="C34" i="12" s="1"/>
  <c r="O9" i="17"/>
  <c r="C30" i="12" s="1"/>
  <c r="E13" i="5"/>
  <c r="K62" i="18"/>
  <c r="K45" i="18"/>
  <c r="J14" i="19"/>
  <c r="G37" i="18"/>
  <c r="E12" i="5"/>
  <c r="E10" i="5"/>
  <c r="G38" i="17"/>
  <c r="F39" i="17" s="1"/>
  <c r="F40" i="17" s="1"/>
  <c r="C38" i="17"/>
  <c r="B39" i="17" s="1"/>
  <c r="B40" i="17" s="1"/>
  <c r="J13" i="19" l="1"/>
  <c r="K69" i="18"/>
  <c r="C30" i="5"/>
  <c r="C40" i="5"/>
  <c r="C44" i="5"/>
  <c r="C33" i="5"/>
  <c r="C36" i="5"/>
  <c r="C55" i="5"/>
  <c r="C31" i="5"/>
  <c r="C35" i="5"/>
  <c r="C32" i="5"/>
  <c r="C45" i="5"/>
  <c r="C52" i="5"/>
  <c r="C29" i="5"/>
  <c r="C34" i="5"/>
  <c r="C57" i="5"/>
  <c r="C56" i="5"/>
  <c r="C46" i="5"/>
  <c r="C58" i="5"/>
  <c r="C53" i="5"/>
  <c r="J15" i="19"/>
  <c r="C43" i="5"/>
  <c r="C47" i="5"/>
  <c r="C42" i="5"/>
  <c r="C41" i="5"/>
  <c r="C54" i="5"/>
  <c r="P13" i="16" l="1"/>
  <c r="K13" i="16" s="1"/>
  <c r="C21" i="12" s="1"/>
  <c r="P6" i="16"/>
  <c r="K7" i="16" s="1"/>
  <c r="C21" i="11" s="1"/>
  <c r="H15" i="16"/>
  <c r="E15" i="16"/>
  <c r="B15" i="16"/>
  <c r="E14" i="16"/>
  <c r="H9" i="16"/>
  <c r="E9" i="16"/>
  <c r="B9" i="16"/>
  <c r="H8" i="16"/>
  <c r="E8" i="16"/>
  <c r="E16" i="4"/>
  <c r="E11" i="11" s="1"/>
  <c r="E11" i="5" s="1"/>
  <c r="E27" i="4"/>
  <c r="E11" i="12" s="1"/>
  <c r="D26" i="4"/>
  <c r="D15" i="4"/>
  <c r="C15" i="4"/>
  <c r="E26" i="4" l="1"/>
  <c r="E15" i="4"/>
  <c r="G15" i="4" s="1"/>
  <c r="K8" i="16"/>
  <c r="C22" i="11" s="1"/>
  <c r="C21" i="5"/>
  <c r="K15" i="16"/>
  <c r="C20" i="12" s="1"/>
  <c r="K14" i="16"/>
  <c r="C22" i="12" s="1"/>
  <c r="K9" i="16"/>
  <c r="C20" i="11" s="1"/>
  <c r="C26" i="4"/>
  <c r="D4" i="4"/>
  <c r="C5" i="4"/>
  <c r="D5" i="4"/>
  <c r="C6" i="4"/>
  <c r="D6" i="4"/>
  <c r="E6" i="4"/>
  <c r="C7" i="4"/>
  <c r="D7" i="4"/>
  <c r="E7" i="4"/>
  <c r="C8" i="4"/>
  <c r="D8" i="4"/>
  <c r="E8" i="4"/>
  <c r="B5" i="4"/>
  <c r="B6" i="4"/>
  <c r="B7" i="4"/>
  <c r="B8" i="4"/>
  <c r="B15" i="4"/>
  <c r="B26" i="4"/>
  <c r="C41" i="15"/>
  <c r="E52" i="11" s="1"/>
  <c r="C42" i="15"/>
  <c r="E53" i="12" s="1"/>
  <c r="C43" i="15"/>
  <c r="E54" i="5" s="1"/>
  <c r="C44" i="15"/>
  <c r="E55" i="11" s="1"/>
  <c r="C45" i="15"/>
  <c r="E56" i="11" s="1"/>
  <c r="C46" i="15"/>
  <c r="E57" i="12" s="1"/>
  <c r="C47" i="15"/>
  <c r="E58" i="5" s="1"/>
  <c r="C40" i="15"/>
  <c r="E51" i="5" s="1"/>
  <c r="C31" i="15"/>
  <c r="E41" i="5" s="1"/>
  <c r="C32" i="15"/>
  <c r="E42" i="11" s="1"/>
  <c r="C33" i="15"/>
  <c r="E43" i="11" s="1"/>
  <c r="C34" i="15"/>
  <c r="E44" i="12" s="1"/>
  <c r="C35" i="15"/>
  <c r="E45" i="11" s="1"/>
  <c r="C36" i="15"/>
  <c r="E46" i="5" s="1"/>
  <c r="C37" i="15"/>
  <c r="E47" i="12" s="1"/>
  <c r="C30" i="15"/>
  <c r="E40" i="11" s="1"/>
  <c r="C21" i="15"/>
  <c r="E30" i="12" s="1"/>
  <c r="C22" i="15"/>
  <c r="E31" i="5" s="1"/>
  <c r="C23" i="15"/>
  <c r="E32" i="11" s="1"/>
  <c r="C24" i="15"/>
  <c r="E33" i="11" s="1"/>
  <c r="C25" i="15"/>
  <c r="E34" i="12" s="1"/>
  <c r="C26" i="15"/>
  <c r="E35" i="5" s="1"/>
  <c r="C27" i="15"/>
  <c r="E36" i="5" s="1"/>
  <c r="C20" i="15"/>
  <c r="E29" i="11" s="1"/>
  <c r="C15" i="15"/>
  <c r="E21" i="11" s="1"/>
  <c r="C16" i="15"/>
  <c r="E22" i="5" s="1"/>
  <c r="C14" i="15"/>
  <c r="E20" i="12" s="1"/>
  <c r="B41" i="15"/>
  <c r="B52" i="5" s="1"/>
  <c r="B42" i="15"/>
  <c r="B53" i="11" s="1"/>
  <c r="D53" i="11" s="1"/>
  <c r="B43" i="15"/>
  <c r="B54" i="12" s="1"/>
  <c r="D54" i="12" s="1"/>
  <c r="B44" i="15"/>
  <c r="B55" i="11" s="1"/>
  <c r="D55" i="11" s="1"/>
  <c r="B45" i="15"/>
  <c r="B56" i="11" s="1"/>
  <c r="D56" i="11" s="1"/>
  <c r="B46" i="15"/>
  <c r="B57" i="12" s="1"/>
  <c r="D57" i="12" s="1"/>
  <c r="B47" i="15"/>
  <c r="B58" i="5" s="1"/>
  <c r="B40" i="15"/>
  <c r="B51" i="5" s="1"/>
  <c r="B30" i="15"/>
  <c r="B40" i="11" s="1"/>
  <c r="D40" i="11" s="1"/>
  <c r="B31" i="15"/>
  <c r="B41" i="12" s="1"/>
  <c r="D41" i="12" s="1"/>
  <c r="B32" i="15"/>
  <c r="B42" i="5" s="1"/>
  <c r="B33" i="15"/>
  <c r="B43" i="11" s="1"/>
  <c r="D43" i="11" s="1"/>
  <c r="B34" i="15"/>
  <c r="B44" i="11" s="1"/>
  <c r="D44" i="11" s="1"/>
  <c r="B35" i="15"/>
  <c r="B45" i="11" s="1"/>
  <c r="D45" i="11" s="1"/>
  <c r="B36" i="15"/>
  <c r="B46" i="5" s="1"/>
  <c r="B37" i="15"/>
  <c r="B47" i="11" s="1"/>
  <c r="D47" i="11" s="1"/>
  <c r="B20" i="15"/>
  <c r="B29" i="11" s="1"/>
  <c r="D29" i="11" s="1"/>
  <c r="B21" i="15"/>
  <c r="B30" i="11" s="1"/>
  <c r="D30" i="11" s="1"/>
  <c r="B22" i="15"/>
  <c r="B31" i="5" s="1"/>
  <c r="B23" i="15"/>
  <c r="B32" i="11" s="1"/>
  <c r="D32" i="11" s="1"/>
  <c r="B24" i="15"/>
  <c r="B33" i="11" s="1"/>
  <c r="D33" i="11" s="1"/>
  <c r="B25" i="15"/>
  <c r="B34" i="11" s="1"/>
  <c r="D34" i="11" s="1"/>
  <c r="B26" i="15"/>
  <c r="B35" i="5" s="1"/>
  <c r="B27" i="15"/>
  <c r="B36" i="5" s="1"/>
  <c r="B14" i="15"/>
  <c r="B20" i="11" s="1"/>
  <c r="B15" i="15"/>
  <c r="B21" i="5" s="1"/>
  <c r="B16" i="15"/>
  <c r="B22" i="11" s="1"/>
  <c r="D22" i="11" s="1"/>
  <c r="F29" i="11" l="1"/>
  <c r="C22" i="5"/>
  <c r="B4" i="4"/>
  <c r="D20" i="11"/>
  <c r="C20" i="5"/>
  <c r="F55" i="11"/>
  <c r="E51" i="12"/>
  <c r="B56" i="5"/>
  <c r="B51" i="11"/>
  <c r="D51" i="11" s="1"/>
  <c r="F45" i="11"/>
  <c r="B44" i="5"/>
  <c r="E44" i="11"/>
  <c r="F44" i="11" s="1"/>
  <c r="B42" i="12"/>
  <c r="D42" i="12" s="1"/>
  <c r="E54" i="12"/>
  <c r="F54" i="12" s="1"/>
  <c r="E56" i="5"/>
  <c r="E58" i="12"/>
  <c r="E44" i="5"/>
  <c r="B54" i="11"/>
  <c r="D54" i="11" s="1"/>
  <c r="B20" i="5"/>
  <c r="B31" i="11"/>
  <c r="D31" i="11" s="1"/>
  <c r="B32" i="5"/>
  <c r="D32" i="5" s="1"/>
  <c r="B35" i="11"/>
  <c r="D35" i="11" s="1"/>
  <c r="E21" i="12"/>
  <c r="E33" i="5"/>
  <c r="E41" i="11"/>
  <c r="E31" i="12"/>
  <c r="F33" i="11"/>
  <c r="F40" i="11"/>
  <c r="E21" i="5"/>
  <c r="B33" i="5"/>
  <c r="E34" i="5"/>
  <c r="B45" i="5"/>
  <c r="D45" i="5" s="1"/>
  <c r="E45" i="5"/>
  <c r="B57" i="5"/>
  <c r="E57" i="5"/>
  <c r="E20" i="11"/>
  <c r="F20" i="11" s="1"/>
  <c r="E30" i="11"/>
  <c r="F30" i="11" s="1"/>
  <c r="E34" i="11"/>
  <c r="F34" i="11" s="1"/>
  <c r="B41" i="11"/>
  <c r="D41" i="11" s="1"/>
  <c r="E47" i="11"/>
  <c r="F47" i="11" s="1"/>
  <c r="E53" i="11"/>
  <c r="F53" i="11" s="1"/>
  <c r="B57" i="11"/>
  <c r="D57" i="11" s="1"/>
  <c r="B21" i="12"/>
  <c r="D21" i="12" s="1"/>
  <c r="B31" i="12"/>
  <c r="B35" i="12"/>
  <c r="D35" i="12" s="1"/>
  <c r="E41" i="12"/>
  <c r="F41" i="12" s="1"/>
  <c r="B45" i="12"/>
  <c r="D45" i="12" s="1"/>
  <c r="B51" i="12"/>
  <c r="D51" i="12" s="1"/>
  <c r="B58" i="12"/>
  <c r="D58" i="12" s="1"/>
  <c r="B22" i="5"/>
  <c r="E32" i="5"/>
  <c r="B43" i="5"/>
  <c r="E43" i="5"/>
  <c r="B55" i="5"/>
  <c r="E55" i="5"/>
  <c r="E31" i="11"/>
  <c r="E35" i="11"/>
  <c r="B42" i="11"/>
  <c r="D42" i="11" s="1"/>
  <c r="F42" i="11" s="1"/>
  <c r="E54" i="11"/>
  <c r="B58" i="11"/>
  <c r="D58" i="11" s="1"/>
  <c r="B22" i="12"/>
  <c r="D22" i="12" s="1"/>
  <c r="B32" i="12"/>
  <c r="D32" i="12" s="1"/>
  <c r="B36" i="12"/>
  <c r="D36" i="12" s="1"/>
  <c r="E42" i="12"/>
  <c r="E45" i="12"/>
  <c r="B52" i="12"/>
  <c r="D52" i="12" s="1"/>
  <c r="B55" i="12"/>
  <c r="D55" i="12" s="1"/>
  <c r="B21" i="11"/>
  <c r="D21" i="11" s="1"/>
  <c r="F21" i="11" s="1"/>
  <c r="E57" i="11"/>
  <c r="E35" i="12"/>
  <c r="B30" i="5"/>
  <c r="E42" i="5"/>
  <c r="B54" i="5"/>
  <c r="B36" i="11"/>
  <c r="D36" i="11" s="1"/>
  <c r="E51" i="11"/>
  <c r="E58" i="11"/>
  <c r="E22" i="12"/>
  <c r="E32" i="12"/>
  <c r="E36" i="12"/>
  <c r="B43" i="12"/>
  <c r="D43" i="12" s="1"/>
  <c r="B46" i="12"/>
  <c r="D46" i="12" s="1"/>
  <c r="E55" i="12"/>
  <c r="B29" i="5"/>
  <c r="E30" i="5"/>
  <c r="B41" i="5"/>
  <c r="B53" i="5"/>
  <c r="E53" i="5"/>
  <c r="E22" i="11"/>
  <c r="F22" i="11" s="1"/>
  <c r="E36" i="11"/>
  <c r="B46" i="11"/>
  <c r="D46" i="11" s="1"/>
  <c r="B52" i="11"/>
  <c r="B29" i="12"/>
  <c r="D29" i="12" s="1"/>
  <c r="B33" i="12"/>
  <c r="B40" i="12"/>
  <c r="D40" i="12" s="1"/>
  <c r="E46" i="12"/>
  <c r="E52" i="12"/>
  <c r="B56" i="12"/>
  <c r="D56" i="12" s="1"/>
  <c r="E29" i="5"/>
  <c r="B40" i="5"/>
  <c r="E40" i="5"/>
  <c r="E52" i="5"/>
  <c r="E29" i="12"/>
  <c r="E33" i="12"/>
  <c r="E40" i="12"/>
  <c r="E43" i="12"/>
  <c r="B47" i="12"/>
  <c r="B53" i="12"/>
  <c r="E56" i="12"/>
  <c r="E20" i="5"/>
  <c r="B47" i="5"/>
  <c r="E47" i="5"/>
  <c r="E46" i="11"/>
  <c r="B20" i="12"/>
  <c r="D20" i="12" s="1"/>
  <c r="F20" i="12" s="1"/>
  <c r="B30" i="12"/>
  <c r="B34" i="12"/>
  <c r="B44" i="12"/>
  <c r="B34" i="5"/>
  <c r="C4" i="4"/>
  <c r="F57" i="12"/>
  <c r="F43" i="11"/>
  <c r="F32" i="11"/>
  <c r="B6" i="15"/>
  <c r="C6" i="15"/>
  <c r="B7" i="15"/>
  <c r="C7" i="15"/>
  <c r="B8" i="15"/>
  <c r="C8" i="15"/>
  <c r="B9" i="15"/>
  <c r="C9" i="15"/>
  <c r="B10" i="15"/>
  <c r="C10" i="15"/>
  <c r="P5" i="15"/>
  <c r="C5" i="15" s="1"/>
  <c r="F8" i="12" s="1"/>
  <c r="O5" i="15"/>
  <c r="B5" i="15" s="1"/>
  <c r="F51" i="12" l="1"/>
  <c r="F29" i="12"/>
  <c r="I5" i="18"/>
  <c r="C4" i="14"/>
  <c r="F41" i="11"/>
  <c r="F54" i="11"/>
  <c r="F52" i="12"/>
  <c r="I7" i="18"/>
  <c r="E22" i="19" s="1"/>
  <c r="E28" i="19" s="1"/>
  <c r="D34" i="12"/>
  <c r="F34" i="12" s="1"/>
  <c r="D53" i="12"/>
  <c r="F53" i="12" s="1"/>
  <c r="D31" i="12"/>
  <c r="F31" i="12" s="1"/>
  <c r="D30" i="12"/>
  <c r="F30" i="12" s="1"/>
  <c r="F40" i="12"/>
  <c r="D44" i="12"/>
  <c r="F44" i="12" s="1"/>
  <c r="D47" i="12"/>
  <c r="F47" i="12" s="1"/>
  <c r="D33" i="12"/>
  <c r="F33" i="12" s="1"/>
  <c r="D52" i="11"/>
  <c r="F52" i="11" s="1"/>
  <c r="F58" i="11"/>
  <c r="F36" i="11"/>
  <c r="F45" i="5"/>
  <c r="F51" i="11"/>
  <c r="F35" i="12"/>
  <c r="F32" i="5"/>
  <c r="F42" i="12"/>
  <c r="F31" i="11"/>
  <c r="F21" i="12"/>
  <c r="F46" i="11"/>
  <c r="F55" i="12"/>
  <c r="F57" i="11"/>
  <c r="F23" i="11"/>
  <c r="F45" i="12"/>
  <c r="F35" i="11"/>
  <c r="F58" i="12"/>
  <c r="F46" i="12"/>
  <c r="B9" i="12"/>
  <c r="D9" i="12" s="1"/>
  <c r="B9" i="11"/>
  <c r="D9" i="11" s="1"/>
  <c r="B9" i="5"/>
  <c r="B12" i="11"/>
  <c r="D12" i="11" s="1"/>
  <c r="F12" i="11" s="1"/>
  <c r="B12" i="5"/>
  <c r="B12" i="12"/>
  <c r="D12" i="12" s="1"/>
  <c r="F12" i="12" s="1"/>
  <c r="F36" i="12"/>
  <c r="F43" i="12"/>
  <c r="F32" i="12"/>
  <c r="B13" i="11"/>
  <c r="D13" i="11" s="1"/>
  <c r="F13" i="11" s="1"/>
  <c r="B13" i="12"/>
  <c r="D13" i="12" s="1"/>
  <c r="F13" i="12" s="1"/>
  <c r="B13" i="5"/>
  <c r="B11" i="12"/>
  <c r="D11" i="12" s="1"/>
  <c r="B11" i="5"/>
  <c r="B11" i="11"/>
  <c r="D11" i="11" s="1"/>
  <c r="F11" i="11" s="1"/>
  <c r="F22" i="12"/>
  <c r="F8" i="11"/>
  <c r="C3" i="14" s="1"/>
  <c r="B10" i="12"/>
  <c r="D10" i="12" s="1"/>
  <c r="B10" i="5"/>
  <c r="D10" i="5" s="1"/>
  <c r="F10" i="5" s="1"/>
  <c r="B10" i="11"/>
  <c r="D10" i="11" s="1"/>
  <c r="F10" i="11" s="1"/>
  <c r="F4" i="4"/>
  <c r="F48" i="11" l="1"/>
  <c r="F8" i="5"/>
  <c r="G5" i="18"/>
  <c r="E3" i="14"/>
  <c r="G12" i="18"/>
  <c r="F59" i="12"/>
  <c r="F48" i="12"/>
  <c r="F37" i="12"/>
  <c r="F59" i="11"/>
  <c r="F23" i="12"/>
  <c r="F37" i="11"/>
  <c r="F60" i="12" l="1"/>
  <c r="I15" i="18" s="1"/>
  <c r="I16" i="18" s="1"/>
  <c r="F60" i="11"/>
  <c r="G15" i="18" s="1"/>
  <c r="G13" i="18"/>
  <c r="E4" i="14"/>
  <c r="I12" i="18"/>
  <c r="I13" i="18" s="1"/>
  <c r="K5" i="18"/>
  <c r="G7" i="18"/>
  <c r="C22" i="19" s="1"/>
  <c r="C28" i="19" s="1"/>
  <c r="J28" i="19" s="1"/>
  <c r="J22" i="19" l="1"/>
  <c r="F4" i="14"/>
  <c r="F3" i="14"/>
  <c r="F6" i="14" s="1"/>
  <c r="G16" i="18"/>
  <c r="K15" i="18"/>
  <c r="K16" i="18" s="1"/>
  <c r="K12" i="18"/>
  <c r="K13" i="18" s="1"/>
  <c r="K7" i="18"/>
  <c r="C31" i="4" l="1"/>
  <c r="B31" i="4"/>
  <c r="C20" i="4"/>
  <c r="B20" i="4"/>
  <c r="D31" i="4" l="1"/>
  <c r="F15" i="4"/>
  <c r="F17" i="4" s="1"/>
  <c r="D20" i="4"/>
  <c r="F26" i="4"/>
  <c r="F28" i="4" s="1"/>
  <c r="F11" i="12" l="1"/>
  <c r="D57" i="5" l="1"/>
  <c r="F57" i="5" s="1"/>
  <c r="D55" i="5"/>
  <c r="F55" i="5" s="1"/>
  <c r="D54" i="5"/>
  <c r="F54" i="5" s="1"/>
  <c r="D53" i="5"/>
  <c r="F53" i="5" s="1"/>
  <c r="D52" i="5"/>
  <c r="F52" i="5" s="1"/>
  <c r="D51" i="5"/>
  <c r="F51" i="5" s="1"/>
  <c r="D46" i="5"/>
  <c r="F46" i="5" s="1"/>
  <c r="D44" i="5"/>
  <c r="F44" i="5" s="1"/>
  <c r="D43" i="5"/>
  <c r="F43" i="5" s="1"/>
  <c r="D42" i="5"/>
  <c r="F42" i="5" s="1"/>
  <c r="D41" i="5"/>
  <c r="F41" i="5" s="1"/>
  <c r="D40" i="5"/>
  <c r="F40" i="5" s="1"/>
  <c r="D36" i="5"/>
  <c r="F36" i="5" s="1"/>
  <c r="D35" i="5"/>
  <c r="F35" i="5" s="1"/>
  <c r="D34" i="5"/>
  <c r="F34" i="5" s="1"/>
  <c r="D33" i="5"/>
  <c r="F33" i="5" s="1"/>
  <c r="D29" i="5"/>
  <c r="F29" i="5" s="1"/>
  <c r="D47" i="5"/>
  <c r="F47" i="5" s="1"/>
  <c r="D58" i="5"/>
  <c r="D31" i="5"/>
  <c r="F31" i="5" s="1"/>
  <c r="D30" i="5"/>
  <c r="F30" i="5" s="1"/>
  <c r="D22" i="5"/>
  <c r="F22" i="5" s="1"/>
  <c r="D21" i="5"/>
  <c r="F21" i="5" s="1"/>
  <c r="D20" i="5"/>
  <c r="F20" i="5" s="1"/>
  <c r="D13" i="5"/>
  <c r="F13" i="5" s="1"/>
  <c r="D12" i="5"/>
  <c r="F12" i="5" s="1"/>
  <c r="D11" i="5"/>
  <c r="F11" i="5" s="1"/>
  <c r="D9" i="5"/>
  <c r="F58" i="5" l="1"/>
  <c r="F59" i="5" s="1"/>
  <c r="B9" i="4"/>
  <c r="F6" i="4"/>
  <c r="C9" i="4"/>
  <c r="D9" i="4"/>
  <c r="F23" i="5"/>
  <c r="F37" i="5"/>
  <c r="F48" i="5"/>
  <c r="F60" i="5" l="1"/>
  <c r="G26" i="4" l="1"/>
  <c r="E4" i="4"/>
  <c r="G4" i="4" s="1"/>
  <c r="G28" i="4" l="1"/>
  <c r="E9" i="12"/>
  <c r="F9" i="12" s="1"/>
  <c r="D4" i="14" s="1"/>
  <c r="G4" i="14" s="1"/>
  <c r="G17" i="4"/>
  <c r="E9" i="11"/>
  <c r="G6" i="4"/>
  <c r="E9" i="5" l="1"/>
  <c r="F9" i="5" s="1"/>
  <c r="F14" i="5" s="1"/>
  <c r="F62" i="5" s="1"/>
  <c r="F64" i="5" s="1"/>
  <c r="F9" i="11"/>
  <c r="D3" i="14" s="1"/>
  <c r="G3" i="14" s="1"/>
  <c r="F14" i="12"/>
  <c r="I9" i="18"/>
  <c r="E20" i="4"/>
  <c r="E31" i="4"/>
  <c r="E5" i="4"/>
  <c r="E9" i="4" s="1"/>
  <c r="H4" i="14" l="1"/>
  <c r="H3" i="14"/>
  <c r="E4" i="17" s="1"/>
  <c r="I10" i="18"/>
  <c r="I18" i="18" s="1"/>
  <c r="I20" i="18" s="1"/>
  <c r="F14" i="11"/>
  <c r="G9" i="18"/>
  <c r="F62" i="12"/>
  <c r="I29" i="18"/>
  <c r="I25" i="18"/>
  <c r="I32" i="18" s="1"/>
  <c r="I28" i="18"/>
  <c r="I27" i="18"/>
  <c r="I26" i="18"/>
  <c r="G29" i="18"/>
  <c r="G28" i="18"/>
  <c r="G25" i="18"/>
  <c r="G32" i="18" s="1"/>
  <c r="G27" i="18"/>
  <c r="G26" i="18"/>
  <c r="K26" i="18" s="1"/>
  <c r="F65" i="5"/>
  <c r="F66" i="5" l="1"/>
  <c r="G5" i="14"/>
  <c r="I39" i="18"/>
  <c r="K27" i="18"/>
  <c r="K29" i="18"/>
  <c r="K28" i="18"/>
  <c r="I21" i="18"/>
  <c r="K9" i="18"/>
  <c r="K10" i="18" s="1"/>
  <c r="G10" i="18"/>
  <c r="F62" i="11"/>
  <c r="K25" i="18"/>
  <c r="K32" i="18" l="1"/>
  <c r="G18" i="18"/>
  <c r="K18" i="18" s="1"/>
  <c r="K20" i="18" s="1"/>
  <c r="K21" i="18" s="1"/>
  <c r="G6" i="14"/>
  <c r="H5" i="14" s="1"/>
  <c r="G20" i="18"/>
  <c r="G39" i="18" s="1"/>
  <c r="K39" i="18" l="1"/>
  <c r="K64" i="18" s="1"/>
  <c r="G21" i="18"/>
  <c r="F4" i="17"/>
  <c r="J8" i="19" l="1"/>
  <c r="J16" i="19" s="1"/>
  <c r="J19" i="19" s="1"/>
  <c r="J9" i="19"/>
  <c r="G40" i="18"/>
  <c r="I40" i="18"/>
  <c r="J29" i="19" l="1"/>
  <c r="J32" i="19" s="1"/>
  <c r="E34" i="19" l="1"/>
  <c r="E38" i="19" s="1"/>
  <c r="C34" i="19"/>
  <c r="C38" i="19" s="1"/>
  <c r="J38" i="19" s="1"/>
  <c r="J34" i="19" l="1"/>
  <c r="E35" i="19" s="1"/>
  <c r="C35" i="19"/>
  <c r="J23" i="19" l="1"/>
  <c r="J48" i="19" l="1"/>
  <c r="J50" i="19" s="1"/>
  <c r="J45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Jonah Nicholas</author>
  </authors>
  <commentList>
    <comment ref="A31" authorId="0" shapeId="0" xr:uid="{1B921C0E-2CAE-481B-B3B4-33F7D9D454BE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20-21 Base Allocation plus COLA; then look at year-over-year increases in CCR and M&amp;O and share in 10.5% of any increases/decreases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Jonah Nicholas</author>
  </authors>
  <commentList>
    <comment ref="A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For purposes of simulation, 65% of headcount is given to Chabot and 35% to LPC</t>
        </r>
      </text>
    </comment>
    <comment ref="I4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Reduced proportionate to year-over-year headcount  reduction of 1.2%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Jonah Nicholas</author>
  </authors>
  <commentList>
    <comment ref="A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One-year look back.  Meaning headcount from FY 2020-21 will be the funded amount in FY 2021-22</t>
        </r>
      </text>
    </comment>
    <comment ref="J5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Assumes 3-year average multiplied by the year-over-year percentage change between actual headcount from prior year vs. estimated headcount in current year.  </t>
        </r>
      </text>
    </comment>
    <comment ref="O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Rajinder Samra</t>
        </r>
      </text>
    </comment>
    <comment ref="A7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320 reports</t>
        </r>
      </text>
    </comment>
    <comment ref="D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320 reports</t>
        </r>
      </text>
    </comment>
    <comment ref="G7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320 reports</t>
        </r>
      </text>
    </comment>
    <comment ref="O12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Rajinder Samra</t>
        </r>
      </text>
    </comment>
    <comment ref="A13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320 reports</t>
        </r>
      </text>
    </comment>
    <comment ref="D13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320 reports</t>
        </r>
      </text>
    </comment>
    <comment ref="G13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From 320 reports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Jonah Nicholas</author>
  </authors>
  <commentList>
    <comment ref="C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320 P1 Report Used due to pandemic</t>
        </r>
      </text>
    </comment>
    <comment ref="D2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320 P1 from 2019-20 used due to pandemic</t>
        </r>
      </text>
    </comment>
    <comment ref="E2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DEMC Targets
</t>
        </r>
      </text>
    </comment>
    <comment ref="C1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320 P1 Report Used due to pandemic</t>
        </r>
      </text>
    </comment>
    <comment ref="D13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320 P1 from 2019-20 used due to pandemic</t>
        </r>
      </text>
    </comment>
    <comment ref="E13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DEMC Targets
</t>
        </r>
      </text>
    </comment>
    <comment ref="C24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320 P1 Report Used due to pandemic</t>
        </r>
      </text>
    </comment>
    <comment ref="D24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320 P1 from 2019-20 used due to pandemic</t>
        </r>
      </text>
    </comment>
    <comment ref="E24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Jonah Nicholas:</t>
        </r>
        <r>
          <rPr>
            <sz val="9"/>
            <color indexed="81"/>
            <rFont val="Tahoma"/>
            <family val="2"/>
          </rPr>
          <t xml:space="preserve">
DEMC Targets
</t>
        </r>
      </text>
    </comment>
  </commentList>
</comments>
</file>

<file path=xl/sharedStrings.xml><?xml version="1.0" encoding="utf-8"?>
<sst xmlns="http://schemas.openxmlformats.org/spreadsheetml/2006/main" count="874" uniqueCount="250">
  <si>
    <t>Credit</t>
  </si>
  <si>
    <t>Non-Credit</t>
  </si>
  <si>
    <t>CDCP</t>
  </si>
  <si>
    <t>Per FTES Amount</t>
  </si>
  <si>
    <t>% Applicable</t>
  </si>
  <si>
    <t>Payment Per FTES</t>
  </si>
  <si>
    <t>A</t>
  </si>
  <si>
    <t>B</t>
  </si>
  <si>
    <t>D</t>
  </si>
  <si>
    <t>C= A*B</t>
  </si>
  <si>
    <t>FTES Funded</t>
  </si>
  <si>
    <t>Amount Paid</t>
  </si>
  <si>
    <t>E=C*D</t>
  </si>
  <si>
    <t>Pell</t>
  </si>
  <si>
    <t>Total Computational Revenue Under New Formula:</t>
  </si>
  <si>
    <t>Increase/&lt;Decrease&gt; in Funding Under New Formula:</t>
  </si>
  <si>
    <t>Basic Allocation</t>
  </si>
  <si>
    <t>AB540</t>
  </si>
  <si>
    <t>Point Amount</t>
  </si>
  <si>
    <t>Total Counts</t>
  </si>
  <si>
    <t>Total Points</t>
  </si>
  <si>
    <t>Rate per Point</t>
  </si>
  <si>
    <t>Associate Degree for Transfer</t>
  </si>
  <si>
    <t>Total</t>
  </si>
  <si>
    <t>Calculation of Supplemental Allocation</t>
  </si>
  <si>
    <t>Calculation of Student Success Incentive Allocation</t>
  </si>
  <si>
    <t>Calculation of Base Allocation</t>
  </si>
  <si>
    <t>Total Funding From Supplemental Allocation:</t>
  </si>
  <si>
    <t>Total Funding From Student Success Incentive Allocation:</t>
  </si>
  <si>
    <t>Total Funding From Base Allocation:</t>
  </si>
  <si>
    <t>Special Admit</t>
  </si>
  <si>
    <t>Hold Harmless:</t>
  </si>
  <si>
    <t>Difference:</t>
  </si>
  <si>
    <t>Cal. Promise Grant (BOG)</t>
  </si>
  <si>
    <t>Equity Bump for Pell Recipients</t>
  </si>
  <si>
    <t>2018-19</t>
  </si>
  <si>
    <t>COLA</t>
  </si>
  <si>
    <t>2019-20</t>
  </si>
  <si>
    <t>2020-21</t>
  </si>
  <si>
    <t>2021-22 (est.)</t>
  </si>
  <si>
    <t>Base Allocation</t>
  </si>
  <si>
    <t>Supplemental Allocation</t>
  </si>
  <si>
    <t>Success Allocation</t>
  </si>
  <si>
    <t>Total SCFF</t>
  </si>
  <si>
    <t>Difference</t>
  </si>
  <si>
    <t>Student Centered Funding Formula (SCFF) Calculation</t>
  </si>
  <si>
    <t>% Difference</t>
  </si>
  <si>
    <t>Chabot Las Positas Community College District</t>
  </si>
  <si>
    <t>CC</t>
  </si>
  <si>
    <t>LPC</t>
  </si>
  <si>
    <t>FY 2020-21</t>
  </si>
  <si>
    <t>&lt;--insert State COLA + Base Allocation Increase here</t>
  </si>
  <si>
    <t>FY 2021-22</t>
  </si>
  <si>
    <t>Apportionment Calculation Under SCFF for FY 2021-22</t>
  </si>
  <si>
    <t>Credit FTES $</t>
  </si>
  <si>
    <t>Incarcerated FTES $</t>
  </si>
  <si>
    <t>Special Admit FTES $</t>
  </si>
  <si>
    <t>CDCP FTES $</t>
  </si>
  <si>
    <t>Noncredit FTES $</t>
  </si>
  <si>
    <t>FY 2020-21 Rates</t>
  </si>
  <si>
    <t>Points</t>
  </si>
  <si>
    <t>$s per Point</t>
  </si>
  <si>
    <t>FTES Section</t>
  </si>
  <si>
    <t>Supplemental Section</t>
  </si>
  <si>
    <t>Success Section</t>
  </si>
  <si>
    <t>All Students</t>
  </si>
  <si>
    <t>Associate Degrees</t>
  </si>
  <si>
    <t>Baccalaureate Degrees</t>
  </si>
  <si>
    <t>Credit Certificates</t>
  </si>
  <si>
    <t>Transfer Level Math and English</t>
  </si>
  <si>
    <t>Transfer to a Four Year University</t>
  </si>
  <si>
    <t>Nine or More CTE Units</t>
  </si>
  <si>
    <t>Regional Living Wage</t>
  </si>
  <si>
    <t>Pell Grant Recipients</t>
  </si>
  <si>
    <t>Promise Grant Recipients</t>
  </si>
  <si>
    <t>Chabot College</t>
  </si>
  <si>
    <t>Incarcerated Credit</t>
  </si>
  <si>
    <t>Special Admit Credit</t>
  </si>
  <si>
    <t>Noncredit</t>
  </si>
  <si>
    <t>Equity Bump for Promise Grant Recipients</t>
  </si>
  <si>
    <t>FY 2021-22 Rates</t>
  </si>
  <si>
    <t>Las Positas College</t>
  </si>
  <si>
    <t>Chabot-Las Positas Community College District</t>
  </si>
  <si>
    <t>Rolling Average over 3 years FY 2020-21 (Credit FTES only)</t>
  </si>
  <si>
    <t>Rolling Average over 3 years FY 2021-22 (Credit FTES only)</t>
  </si>
  <si>
    <t>AB 540 Students</t>
  </si>
  <si>
    <t>Chabot</t>
  </si>
  <si>
    <t>Las Positas</t>
  </si>
  <si>
    <t>FY 2017-18</t>
  </si>
  <si>
    <t>FY 2018-19</t>
  </si>
  <si>
    <t>FY 2019-20</t>
  </si>
  <si>
    <t>Annual 2017-2018</t>
  </si>
  <si>
    <t>Annual 2018-2019</t>
  </si>
  <si>
    <t>Annual 2019-2020</t>
  </si>
  <si>
    <t>Student Count</t>
  </si>
  <si>
    <t>Award Count</t>
  </si>
  <si>
    <t>Aid Amount</t>
  </si>
  <si>
    <t>Chabot Hayward Total</t>
  </si>
  <si>
    <t>California College Promise Grant Total</t>
  </si>
  <si>
    <t>California College Promise - Method A-? (unknown base)</t>
  </si>
  <si>
    <t>California College Promise - Method A-1 based on TANF recipient status</t>
  </si>
  <si>
    <t>California College Promise - Method A-2 based on SSI recipient status</t>
  </si>
  <si>
    <t>California College Promise - Method A-3 based on general assistance recipient status</t>
  </si>
  <si>
    <t>California College Promise - Method B based on income standards</t>
  </si>
  <si>
    <t>California College Promise - Method C based on financial need</t>
  </si>
  <si>
    <t>Fee Waiver – Dependent of (children) deceased or disabled Veteran</t>
  </si>
  <si>
    <t>Grants Total</t>
  </si>
  <si>
    <t>Cal Grant A</t>
  </si>
  <si>
    <t>Cal Grant B</t>
  </si>
  <si>
    <t>Cal Grant C</t>
  </si>
  <si>
    <t>CARE Grant</t>
  </si>
  <si>
    <t>Chafee Grant</t>
  </si>
  <si>
    <t>Completion Grant (CCCG)</t>
  </si>
  <si>
    <t>EOPS Grant</t>
  </si>
  <si>
    <t>Full-time Student Success Grant</t>
  </si>
  <si>
    <t>Other grant: California College Promise (AB19) source</t>
  </si>
  <si>
    <t>Pell Grant</t>
  </si>
  <si>
    <t>SEOG (Supplemental Educational Opportunity Grant)</t>
  </si>
  <si>
    <t>Student Success Completion Grant (SSCG)</t>
  </si>
  <si>
    <t>Loans Total</t>
  </si>
  <si>
    <t>Federal Direct Student Loan - subsidized</t>
  </si>
  <si>
    <t>Federal Direct Student Loan - unsubsidized</t>
  </si>
  <si>
    <t>Scholarship Total</t>
  </si>
  <si>
    <t>Scholarship: institutional source</t>
  </si>
  <si>
    <t>Scholarship: non-institutional source</t>
  </si>
  <si>
    <t>Scholarship: Osher Scholarship</t>
  </si>
  <si>
    <t>Work Study Total</t>
  </si>
  <si>
    <t>Federal Work Study (FWS) (Federal share)</t>
  </si>
  <si>
    <t>Other Work Study and matching funds</t>
  </si>
  <si>
    <t>Las Positas Total</t>
  </si>
  <si>
    <t>Fee Waiver – Dependent (children) of Deceased Law Enforcement/Fire Suppression</t>
  </si>
  <si>
    <t>CSAC CNG EAAP (California Student Aid Commission California National Guard Education Assistance Award Program)</t>
  </si>
  <si>
    <t>FY 2020-21 Estimated FTES</t>
  </si>
  <si>
    <t>% Change</t>
  </si>
  <si>
    <t>FY 2019-20 Headcount</t>
  </si>
  <si>
    <t>3-Year Average</t>
  </si>
  <si>
    <t>Check on Apportionment Schedule</t>
  </si>
  <si>
    <t>CLPCCD</t>
  </si>
  <si>
    <t>Total Computational Revenue Under SB-361 + COLA</t>
  </si>
  <si>
    <t>TOTAL</t>
  </si>
  <si>
    <t>APPORTIONMENT REVENUE</t>
  </si>
  <si>
    <t>(a)</t>
  </si>
  <si>
    <t>(b)</t>
  </si>
  <si>
    <t>Other</t>
  </si>
  <si>
    <t>(c)</t>
  </si>
  <si>
    <t>OTHER STATE AND LOCAL INCOME</t>
  </si>
  <si>
    <t xml:space="preserve">OTHER STATE REVENUE </t>
  </si>
  <si>
    <t xml:space="preserve"> </t>
  </si>
  <si>
    <t>Lottery, Unrestricted</t>
  </si>
  <si>
    <t>Subtotal, Other State Revenue</t>
  </si>
  <si>
    <t>(d)</t>
  </si>
  <si>
    <t xml:space="preserve">LOCAL REVENUE </t>
  </si>
  <si>
    <t>Subtotal, Local Revenue</t>
  </si>
  <si>
    <t>(e)</t>
  </si>
  <si>
    <t>TOTAL REVENUES INCLUDING APPORTIONMENT</t>
  </si>
  <si>
    <t>(f)</t>
  </si>
  <si>
    <t>EXPENDITURES</t>
  </si>
  <si>
    <t xml:space="preserve">Contractual Expenses: </t>
  </si>
  <si>
    <t>(g)</t>
  </si>
  <si>
    <r>
      <t xml:space="preserve">Regulatory Expenses: </t>
    </r>
    <r>
      <rPr>
        <i/>
        <sz val="10"/>
        <color theme="1"/>
        <rFont val="Calibri"/>
        <family val="2"/>
        <scheme val="minor"/>
      </rPr>
      <t xml:space="preserve"> </t>
    </r>
  </si>
  <si>
    <t>Election Expense</t>
  </si>
  <si>
    <t>Subtotal, Regulatory Expenses:</t>
  </si>
  <si>
    <t>(h)</t>
  </si>
  <si>
    <r>
      <rPr>
        <b/>
        <sz val="12"/>
        <color theme="1"/>
        <rFont val="Calibri"/>
        <family val="2"/>
        <scheme val="minor"/>
      </rPr>
      <t>Committed Obligations</t>
    </r>
    <r>
      <rPr>
        <b/>
        <sz val="11"/>
        <color theme="1"/>
        <rFont val="Calibri"/>
        <family val="2"/>
        <scheme val="minor"/>
      </rPr>
      <t xml:space="preserve">:  </t>
    </r>
  </si>
  <si>
    <t>Subtotal, Committed Obligations:</t>
  </si>
  <si>
    <t>(i)</t>
  </si>
  <si>
    <t>NET REVENUE AFTER DISTRICTWIDE ASSESSMENTS</t>
  </si>
  <si>
    <t>(k)</t>
  </si>
  <si>
    <t>FY 2021-22 Allocation Simulation</t>
  </si>
  <si>
    <t>Basic Allocation - Colleges</t>
  </si>
  <si>
    <t>Basic Allocation - Approved Centers</t>
  </si>
  <si>
    <t>FTES Base (calculated at SCFF rates)</t>
  </si>
  <si>
    <t>Basic Allocations</t>
  </si>
  <si>
    <t>Supplemental Allocations</t>
  </si>
  <si>
    <t>FTES Allocations</t>
  </si>
  <si>
    <t>Student Success Allocations</t>
  </si>
  <si>
    <t xml:space="preserve">TOTAL SCFF APPORTIONMENT REVENUE </t>
  </si>
  <si>
    <t>Funding per Target FTES</t>
  </si>
  <si>
    <t>Lottery ($150 base FTES per SCO)</t>
  </si>
  <si>
    <t>PT Office Hours</t>
  </si>
  <si>
    <t>PT Health Benefits</t>
  </si>
  <si>
    <t>&lt;--P1 320 Report FY 2020-21 (15,271 resident, 410 nonresident)</t>
  </si>
  <si>
    <t>PT Faculty Compensation</t>
  </si>
  <si>
    <t>&lt;--2020-21 P1 Exhibit A - March 2021 (will update as needed)</t>
  </si>
  <si>
    <t>Mandate Block Grant</t>
  </si>
  <si>
    <t>Mandated Cost Block Grant</t>
  </si>
  <si>
    <t>Non-resident FTES</t>
  </si>
  <si>
    <t>Tuition Per Unit</t>
  </si>
  <si>
    <r>
      <t xml:space="preserve">Non Resident Tuition </t>
    </r>
    <r>
      <rPr>
        <i/>
        <sz val="10"/>
        <color theme="1"/>
        <rFont val="Calibri"/>
        <family val="2"/>
        <scheme val="minor"/>
      </rPr>
      <t>(optional whether run through model)</t>
    </r>
  </si>
  <si>
    <t>FA Release Time</t>
  </si>
  <si>
    <t>Subtotal, Contractual Expenses:</t>
  </si>
  <si>
    <t>Property and Liability Insurance</t>
  </si>
  <si>
    <t>Retiree Health Benefits (RUMBL)</t>
  </si>
  <si>
    <t>(j)</t>
  </si>
  <si>
    <t>(l): h minus (i+j+k)</t>
  </si>
  <si>
    <t>(m)</t>
  </si>
  <si>
    <t xml:space="preserve">Step 1 Revenues </t>
  </si>
  <si>
    <t>a. Revenues including base</t>
  </si>
  <si>
    <t>Step 2 Costs</t>
  </si>
  <si>
    <t xml:space="preserve">    Contractual</t>
  </si>
  <si>
    <t xml:space="preserve">    Regulatory</t>
  </si>
  <si>
    <t xml:space="preserve">    Committed</t>
  </si>
  <si>
    <t xml:space="preserve">     Subtotal</t>
  </si>
  <si>
    <t>Site Recap:</t>
  </si>
  <si>
    <t>Internal Resource Allocation Model</t>
  </si>
  <si>
    <t>Chabot Las-Positas Community College District</t>
  </si>
  <si>
    <t>Step 3 M&amp;O</t>
  </si>
  <si>
    <t>FY 2021-22 Simulation</t>
  </si>
  <si>
    <t>District Office</t>
  </si>
  <si>
    <t>M&amp;O</t>
  </si>
  <si>
    <t>ck</t>
  </si>
  <si>
    <t>$s Per FTES</t>
  </si>
  <si>
    <t>Apportionment Revenue Shortfall (Deficit Factor)</t>
  </si>
  <si>
    <t>Hold Harmless</t>
  </si>
  <si>
    <t>% of Total (Not counting Hold Harmless)</t>
  </si>
  <si>
    <t>&lt;--percent of all revenue under hold harmless</t>
  </si>
  <si>
    <t>&lt;--percent of SCFF not including hold harmless</t>
  </si>
  <si>
    <t>&lt;--Per SCO $30.67/base FTES-15,271 from P1 320</t>
  </si>
  <si>
    <t>(CC - $545,184;  LPC, - $467,008)</t>
  </si>
  <si>
    <t>Board Member Compensation</t>
  </si>
  <si>
    <t>Audit/Actuarial Report</t>
  </si>
  <si>
    <t>Utilities (electrical, gas, water, telephone, etc.)</t>
  </si>
  <si>
    <t>EAP/SAP, TB, Fingerprinting</t>
  </si>
  <si>
    <t>Contribution to Retiree/Self Insurance Reserve</t>
  </si>
  <si>
    <t>Marketing (PRMG)</t>
  </si>
  <si>
    <t>Subsidized Programs (Nursing, Dental Hygiene, etc.)</t>
  </si>
  <si>
    <t>Convocation/Educational Master Plan etc.</t>
  </si>
  <si>
    <t>M&amp;O Total Cost of Ownership</t>
  </si>
  <si>
    <t>&lt;--2020-21 Base Funding Plus COLA</t>
  </si>
  <si>
    <t>Maintenance &amp; Operations</t>
  </si>
  <si>
    <t>(o): i+j+k+m</t>
  </si>
  <si>
    <t>Total Cost of Ownership (FY 2020-21 base + COLA)</t>
  </si>
  <si>
    <t>Step 4 College Specific Allocations</t>
  </si>
  <si>
    <t>Distribute FTF Funding 2015-16 (DEMC % Split)</t>
  </si>
  <si>
    <t>Distribute FTF Funding 2021-22 (DEMC % Split)</t>
  </si>
  <si>
    <t>Distribute DEMC Target FTES Funding above 3-year average</t>
  </si>
  <si>
    <t>Distribute Other College Specific Allocations</t>
  </si>
  <si>
    <t>FTF Hiring FY 2015-16</t>
  </si>
  <si>
    <t>FTF Hiring FY 2020-21</t>
  </si>
  <si>
    <t>College Allocations Prior to DO Distribution</t>
  </si>
  <si>
    <t xml:space="preserve">     Subtotal (amount left to distribute)</t>
  </si>
  <si>
    <t>Step 5 Distribute District Office</t>
  </si>
  <si>
    <t>Step 6 Distribute Remainder on SCFF %</t>
  </si>
  <si>
    <t>Site Allocations</t>
  </si>
  <si>
    <t>Total Expenditures: M&amp;O and Assessed Costs</t>
  </si>
  <si>
    <t>b. Revenues exclusive of basic funding</t>
  </si>
  <si>
    <t>Distribute Basic Funding</t>
  </si>
  <si>
    <t>Internal Adjustments Outside of BAM</t>
  </si>
  <si>
    <t>based on DEMC % but could be based off SCFF</t>
  </si>
  <si>
    <r>
      <t xml:space="preserve">Distribute Hold Harmless Funding </t>
    </r>
    <r>
      <rPr>
        <sz val="9"/>
        <color theme="1"/>
        <rFont val="Calibri"/>
        <family val="2"/>
        <scheme val="minor"/>
      </rPr>
      <t>(55% Year 1, decline every year after)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</si>
</sst>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_);_(@_)"/>
    <numFmt numFmtId="166" formatCode="_(* #,##0.00_);_(* \(#,##0.00\);_(* &quot;-&quot;_);_(@_)"/>
    <numFmt numFmtId="167" formatCode="0.0%"/>
    <numFmt numFmtId="168" formatCode="_(* #,##0_);_(* \(#,##0\);_(* &quot;-&quot;??_);_(@_)"/>
    <numFmt numFmtId="169" formatCode="[$$-409]#,##0;\([$$-409]#,##0\);[$$-409]#,##0;@"/>
    <numFmt numFmtId="170" formatCode="_([$$-409]* #,##0_);_([$$-409]* \(#,##0\);_([$$-409]* &quot;-&quot;??_);_(@_)"/>
    <numFmt numFmtId="171" formatCode="&quot;$&quot;#,##0"/>
    <numFmt numFmtId="172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25"/>
      <color rgb="FF000000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8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/>
    <xf numFmtId="9" fontId="0" fillId="0" borderId="0" xfId="3" applyNumberFormat="1" applyFont="1"/>
    <xf numFmtId="164" fontId="0" fillId="0" borderId="0" xfId="1" applyNumberFormat="1" applyFont="1"/>
    <xf numFmtId="44" fontId="2" fillId="0" borderId="10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44" fontId="0" fillId="0" borderId="10" xfId="1" applyFont="1" applyBorder="1"/>
    <xf numFmtId="44" fontId="0" fillId="0" borderId="0" xfId="1" applyFont="1" applyBorder="1"/>
    <xf numFmtId="44" fontId="0" fillId="0" borderId="11" xfId="1" applyFont="1" applyBorder="1"/>
    <xf numFmtId="164" fontId="0" fillId="0" borderId="0" xfId="1" applyNumberFormat="1" applyFont="1" applyBorder="1"/>
    <xf numFmtId="43" fontId="0" fillId="0" borderId="0" xfId="2" applyFont="1" applyBorder="1"/>
    <xf numFmtId="44" fontId="0" fillId="0" borderId="4" xfId="1" applyFont="1" applyBorder="1"/>
    <xf numFmtId="164" fontId="0" fillId="0" borderId="5" xfId="1" applyNumberFormat="1" applyFont="1" applyBorder="1"/>
    <xf numFmtId="44" fontId="0" fillId="0" borderId="5" xfId="1" applyFont="1" applyBorder="1"/>
    <xf numFmtId="44" fontId="2" fillId="0" borderId="5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0" fontId="0" fillId="0" borderId="0" xfId="3" applyNumberFormat="1" applyFont="1" applyBorder="1"/>
    <xf numFmtId="9" fontId="0" fillId="0" borderId="5" xfId="3" applyNumberFormat="1" applyFont="1" applyBorder="1"/>
    <xf numFmtId="164" fontId="0" fillId="0" borderId="0" xfId="1" applyNumberFormat="1" applyFont="1" applyFill="1" applyBorder="1"/>
    <xf numFmtId="9" fontId="0" fillId="0" borderId="0" xfId="3" applyFont="1" applyFill="1" applyBorder="1"/>
    <xf numFmtId="44" fontId="0" fillId="0" borderId="0" xfId="1" applyFont="1" applyFill="1" applyBorder="1"/>
    <xf numFmtId="43" fontId="0" fillId="0" borderId="0" xfId="2" applyFont="1" applyFill="1" applyBorder="1"/>
    <xf numFmtId="10" fontId="0" fillId="0" borderId="0" xfId="3" applyNumberFormat="1" applyFont="1" applyFill="1" applyBorder="1"/>
    <xf numFmtId="41" fontId="0" fillId="0" borderId="0" xfId="1" applyNumberFormat="1" applyFont="1" applyFill="1" applyBorder="1"/>
    <xf numFmtId="41" fontId="0" fillId="0" borderId="0" xfId="3" applyNumberFormat="1" applyFont="1" applyFill="1" applyBorder="1"/>
    <xf numFmtId="41" fontId="0" fillId="0" borderId="0" xfId="2" applyNumberFormat="1" applyFont="1" applyFill="1" applyBorder="1"/>
    <xf numFmtId="165" fontId="0" fillId="0" borderId="0" xfId="1" applyNumberFormat="1" applyFont="1" applyFill="1" applyBorder="1"/>
    <xf numFmtId="44" fontId="0" fillId="0" borderId="10" xfId="1" applyFont="1" applyBorder="1" applyAlignment="1">
      <alignment horizontal="center"/>
    </xf>
    <xf numFmtId="44" fontId="2" fillId="0" borderId="10" xfId="1" applyFont="1" applyBorder="1"/>
    <xf numFmtId="0" fontId="0" fillId="0" borderId="0" xfId="0" applyAlignment="1">
      <alignment horizontal="center"/>
    </xf>
    <xf numFmtId="43" fontId="0" fillId="0" borderId="0" xfId="2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12" xfId="2" applyFont="1" applyBorder="1"/>
    <xf numFmtId="43" fontId="0" fillId="0" borderId="0" xfId="0" applyNumberFormat="1"/>
    <xf numFmtId="166" fontId="0" fillId="0" borderId="0" xfId="1" applyNumberFormat="1" applyFont="1" applyFill="1" applyBorder="1"/>
    <xf numFmtId="43" fontId="2" fillId="0" borderId="0" xfId="0" applyNumberFormat="1" applyFont="1"/>
    <xf numFmtId="43" fontId="0" fillId="0" borderId="13" xfId="0" applyNumberFormat="1" applyBorder="1"/>
    <xf numFmtId="43" fontId="0" fillId="0" borderId="0" xfId="0" applyNumberFormat="1" applyBorder="1"/>
    <xf numFmtId="43" fontId="2" fillId="0" borderId="0" xfId="2" applyFont="1" applyBorder="1"/>
    <xf numFmtId="0" fontId="0" fillId="0" borderId="0" xfId="0" applyBorder="1"/>
    <xf numFmtId="0" fontId="2" fillId="0" borderId="0" xfId="0" applyFont="1"/>
    <xf numFmtId="44" fontId="0" fillId="0" borderId="0" xfId="1" applyNumberFormat="1" applyFont="1" applyFill="1" applyBorder="1"/>
    <xf numFmtId="167" fontId="0" fillId="0" borderId="0" xfId="3" applyNumberFormat="1" applyFont="1"/>
    <xf numFmtId="10" fontId="0" fillId="0" borderId="0" xfId="3" applyNumberFormat="1" applyFont="1"/>
    <xf numFmtId="164" fontId="2" fillId="0" borderId="0" xfId="1" applyNumberFormat="1" applyFont="1"/>
    <xf numFmtId="164" fontId="0" fillId="0" borderId="11" xfId="1" applyNumberFormat="1" applyFont="1" applyFill="1" applyBorder="1"/>
    <xf numFmtId="164" fontId="0" fillId="0" borderId="11" xfId="1" applyNumberFormat="1" applyFont="1" applyBorder="1"/>
    <xf numFmtId="164" fontId="2" fillId="0" borderId="6" xfId="1" applyNumberFormat="1" applyFont="1" applyBorder="1"/>
    <xf numFmtId="0" fontId="0" fillId="0" borderId="14" xfId="0" applyBorder="1"/>
    <xf numFmtId="168" fontId="0" fillId="0" borderId="14" xfId="2" applyNumberFormat="1" applyFont="1" applyBorder="1"/>
    <xf numFmtId="0" fontId="2" fillId="0" borderId="14" xfId="0" applyFont="1" applyBorder="1" applyAlignment="1">
      <alignment horizontal="center" wrapText="1"/>
    </xf>
    <xf numFmtId="0" fontId="2" fillId="0" borderId="14" xfId="0" applyFont="1" applyBorder="1"/>
    <xf numFmtId="10" fontId="0" fillId="0" borderId="14" xfId="3" applyNumberFormat="1" applyFont="1" applyBorder="1"/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44" fontId="0" fillId="6" borderId="0" xfId="1" applyFont="1" applyFill="1"/>
    <xf numFmtId="10" fontId="5" fillId="6" borderId="16" xfId="3" applyNumberFormat="1" applyFont="1" applyFill="1" applyBorder="1"/>
    <xf numFmtId="44" fontId="0" fillId="0" borderId="0" xfId="1" applyFont="1" applyFill="1"/>
    <xf numFmtId="43" fontId="0" fillId="6" borderId="0" xfId="2" applyFont="1" applyFill="1"/>
    <xf numFmtId="43" fontId="0" fillId="0" borderId="0" xfId="2" applyFont="1" applyFill="1"/>
    <xf numFmtId="164" fontId="2" fillId="0" borderId="11" xfId="1" applyNumberFormat="1" applyFont="1" applyBorder="1"/>
    <xf numFmtId="49" fontId="10" fillId="7" borderId="17" xfId="0" applyNumberFormat="1" applyFont="1" applyFill="1" applyBorder="1" applyAlignment="1" applyProtection="1">
      <alignment horizontal="left" vertical="center" readingOrder="1"/>
    </xf>
    <xf numFmtId="3" fontId="10" fillId="7" borderId="17" xfId="0" applyNumberFormat="1" applyFont="1" applyFill="1" applyBorder="1" applyAlignment="1" applyProtection="1">
      <alignment horizontal="left" vertical="center" readingOrder="1"/>
    </xf>
    <xf numFmtId="169" fontId="10" fillId="7" borderId="17" xfId="0" applyNumberFormat="1" applyFont="1" applyFill="1" applyBorder="1" applyAlignment="1" applyProtection="1">
      <alignment horizontal="left" vertical="center" readingOrder="1"/>
    </xf>
    <xf numFmtId="3" fontId="10" fillId="8" borderId="17" xfId="0" applyNumberFormat="1" applyFont="1" applyFill="1" applyBorder="1" applyAlignment="1" applyProtection="1">
      <alignment horizontal="right" vertical="center" readingOrder="1"/>
    </xf>
    <xf numFmtId="169" fontId="10" fillId="8" borderId="17" xfId="0" applyNumberFormat="1" applyFont="1" applyFill="1" applyBorder="1" applyAlignment="1" applyProtection="1">
      <alignment horizontal="right" vertical="center" readingOrder="1"/>
    </xf>
    <xf numFmtId="3" fontId="0" fillId="0" borderId="0" xfId="0" applyNumberFormat="1"/>
    <xf numFmtId="9" fontId="0" fillId="0" borderId="0" xfId="3" applyFont="1"/>
    <xf numFmtId="168" fontId="0" fillId="0" borderId="0" xfId="2" applyNumberFormat="1" applyFont="1"/>
    <xf numFmtId="168" fontId="0" fillId="0" borderId="0" xfId="0" applyNumberFormat="1"/>
    <xf numFmtId="0" fontId="0" fillId="0" borderId="0" xfId="0" applyFont="1"/>
    <xf numFmtId="43" fontId="0" fillId="0" borderId="14" xfId="0" applyNumberFormat="1" applyBorder="1"/>
    <xf numFmtId="0" fontId="3" fillId="0" borderId="13" xfId="0" applyFont="1" applyBorder="1" applyAlignment="1">
      <alignment horizontal="centerContinuous"/>
    </xf>
    <xf numFmtId="0" fontId="11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18" xfId="0" applyFont="1" applyBorder="1" applyAlignment="1">
      <alignment horizontal="center"/>
    </xf>
    <xf numFmtId="0" fontId="6" fillId="0" borderId="20" xfId="0" applyFont="1" applyBorder="1"/>
    <xf numFmtId="0" fontId="6" fillId="0" borderId="18" xfId="0" applyFont="1" applyBorder="1"/>
    <xf numFmtId="0" fontId="0" fillId="0" borderId="19" xfId="0" applyFont="1" applyBorder="1"/>
    <xf numFmtId="0" fontId="6" fillId="0" borderId="19" xfId="0" applyFont="1" applyBorder="1"/>
    <xf numFmtId="170" fontId="0" fillId="0" borderId="18" xfId="0" applyNumberFormat="1" applyFont="1" applyFill="1" applyBorder="1"/>
    <xf numFmtId="170" fontId="0" fillId="0" borderId="20" xfId="0" applyNumberFormat="1" applyFont="1" applyFill="1" applyBorder="1"/>
    <xf numFmtId="0" fontId="6" fillId="0" borderId="19" xfId="0" applyFont="1" applyFill="1" applyBorder="1"/>
    <xf numFmtId="0" fontId="0" fillId="0" borderId="19" xfId="0" applyFont="1" applyFill="1" applyBorder="1"/>
    <xf numFmtId="170" fontId="6" fillId="0" borderId="18" xfId="0" applyNumberFormat="1" applyFont="1" applyFill="1" applyBorder="1"/>
    <xf numFmtId="170" fontId="6" fillId="0" borderId="20" xfId="0" applyNumberFormat="1" applyFont="1" applyFill="1" applyBorder="1"/>
    <xf numFmtId="0" fontId="0" fillId="0" borderId="21" xfId="0" applyBorder="1"/>
    <xf numFmtId="170" fontId="0" fillId="0" borderId="21" xfId="0" applyNumberFormat="1" applyBorder="1"/>
    <xf numFmtId="170" fontId="0" fillId="0" borderId="22" xfId="0" applyNumberFormat="1" applyBorder="1"/>
    <xf numFmtId="170" fontId="0" fillId="0" borderId="0" xfId="0" applyNumberFormat="1" applyBorder="1"/>
    <xf numFmtId="170" fontId="0" fillId="0" borderId="18" xfId="0" applyNumberFormat="1" applyBorder="1"/>
    <xf numFmtId="170" fontId="0" fillId="0" borderId="20" xfId="0" applyNumberFormat="1" applyBorder="1"/>
    <xf numFmtId="170" fontId="0" fillId="0" borderId="21" xfId="0" applyNumberFormat="1" applyFill="1" applyBorder="1"/>
    <xf numFmtId="170" fontId="0" fillId="0" borderId="22" xfId="0" applyNumberFormat="1" applyFill="1" applyBorder="1"/>
    <xf numFmtId="170" fontId="0" fillId="0" borderId="21" xfId="0" applyNumberFormat="1" applyFont="1" applyFill="1" applyBorder="1"/>
    <xf numFmtId="0" fontId="13" fillId="0" borderId="0" xfId="0" applyFont="1"/>
    <xf numFmtId="0" fontId="13" fillId="0" borderId="21" xfId="0" applyFont="1" applyFill="1" applyBorder="1"/>
    <xf numFmtId="0" fontId="13" fillId="0" borderId="0" xfId="0" applyFont="1" applyFill="1" applyBorder="1"/>
    <xf numFmtId="170" fontId="13" fillId="0" borderId="21" xfId="0" applyNumberFormat="1" applyFont="1" applyFill="1" applyBorder="1"/>
    <xf numFmtId="170" fontId="13" fillId="0" borderId="22" xfId="0" applyNumberFormat="1" applyFont="1" applyFill="1" applyBorder="1"/>
    <xf numFmtId="0" fontId="0" fillId="0" borderId="21" xfId="0" applyFill="1" applyBorder="1"/>
    <xf numFmtId="0" fontId="0" fillId="0" borderId="0" xfId="0" applyFill="1" applyBorder="1"/>
    <xf numFmtId="9" fontId="0" fillId="0" borderId="0" xfId="0" applyNumberFormat="1" applyFill="1" applyBorder="1" applyAlignment="1">
      <alignment horizontal="right"/>
    </xf>
    <xf numFmtId="9" fontId="1" fillId="0" borderId="0" xfId="1" applyNumberFormat="1" applyFont="1" applyFill="1" applyBorder="1" applyAlignment="1">
      <alignment horizontal="right"/>
    </xf>
    <xf numFmtId="0" fontId="6" fillId="9" borderId="18" xfId="0" applyFont="1" applyFill="1" applyBorder="1"/>
    <xf numFmtId="0" fontId="6" fillId="9" borderId="19" xfId="0" applyFont="1" applyFill="1" applyBorder="1"/>
    <xf numFmtId="0" fontId="0" fillId="9" borderId="19" xfId="0" quotePrefix="1" applyFont="1" applyFill="1" applyBorder="1"/>
    <xf numFmtId="170" fontId="6" fillId="9" borderId="18" xfId="0" applyNumberFormat="1" applyFont="1" applyFill="1" applyBorder="1"/>
    <xf numFmtId="170" fontId="6" fillId="9" borderId="20" xfId="0" applyNumberFormat="1" applyFont="1" applyFill="1" applyBorder="1"/>
    <xf numFmtId="0" fontId="15" fillId="0" borderId="21" xfId="0" applyFont="1" applyBorder="1"/>
    <xf numFmtId="0" fontId="15" fillId="0" borderId="0" xfId="0" applyFont="1" applyFill="1" applyBorder="1"/>
    <xf numFmtId="170" fontId="15" fillId="0" borderId="21" xfId="0" applyNumberFormat="1" applyFont="1" applyFill="1" applyBorder="1"/>
    <xf numFmtId="170" fontId="15" fillId="0" borderId="22" xfId="0" applyNumberFormat="1" applyFont="1" applyFill="1" applyBorder="1"/>
    <xf numFmtId="168" fontId="15" fillId="0" borderId="21" xfId="0" applyNumberFormat="1" applyFont="1" applyFill="1" applyBorder="1"/>
    <xf numFmtId="0" fontId="15" fillId="0" borderId="0" xfId="0" applyFont="1"/>
    <xf numFmtId="0" fontId="0" fillId="0" borderId="19" xfId="0" applyFill="1" applyBorder="1"/>
    <xf numFmtId="170" fontId="0" fillId="0" borderId="18" xfId="0" applyNumberFormat="1" applyFill="1" applyBorder="1"/>
    <xf numFmtId="170" fontId="0" fillId="0" borderId="20" xfId="0" applyNumberFormat="1" applyFill="1" applyBorder="1"/>
    <xf numFmtId="0" fontId="0" fillId="0" borderId="18" xfId="0" applyFill="1" applyBorder="1"/>
    <xf numFmtId="0" fontId="0" fillId="0" borderId="13" xfId="0" applyFill="1" applyBorder="1"/>
    <xf numFmtId="164" fontId="0" fillId="0" borderId="24" xfId="0" applyNumberFormat="1" applyFill="1" applyBorder="1"/>
    <xf numFmtId="164" fontId="0" fillId="0" borderId="23" xfId="0" applyNumberFormat="1" applyFill="1" applyBorder="1"/>
    <xf numFmtId="0" fontId="0" fillId="0" borderId="24" xfId="0" applyFill="1" applyBorder="1"/>
    <xf numFmtId="164" fontId="0" fillId="0" borderId="20" xfId="0" applyNumberFormat="1" applyFill="1" applyBorder="1"/>
    <xf numFmtId="0" fontId="17" fillId="0" borderId="19" xfId="0" applyFont="1" applyFill="1" applyBorder="1"/>
    <xf numFmtId="164" fontId="0" fillId="0" borderId="18" xfId="0" applyNumberFormat="1" applyFill="1" applyBorder="1"/>
    <xf numFmtId="164" fontId="17" fillId="0" borderId="20" xfId="0" applyNumberFormat="1" applyFont="1" applyFill="1" applyBorder="1"/>
    <xf numFmtId="164" fontId="0" fillId="0" borderId="20" xfId="0" applyNumberFormat="1" applyBorder="1"/>
    <xf numFmtId="164" fontId="6" fillId="0" borderId="18" xfId="0" applyNumberFormat="1" applyFont="1" applyFill="1" applyBorder="1"/>
    <xf numFmtId="164" fontId="6" fillId="0" borderId="20" xfId="0" applyNumberFormat="1" applyFont="1" applyFill="1" applyBorder="1"/>
    <xf numFmtId="164" fontId="0" fillId="0" borderId="18" xfId="0" applyNumberFormat="1" applyBorder="1"/>
    <xf numFmtId="164" fontId="6" fillId="0" borderId="19" xfId="0" applyNumberFormat="1" applyFont="1" applyFill="1" applyBorder="1"/>
    <xf numFmtId="0" fontId="6" fillId="0" borderId="0" xfId="0" applyFont="1" applyFill="1"/>
    <xf numFmtId="0" fontId="0" fillId="9" borderId="19" xfId="0" applyFont="1" applyFill="1" applyBorder="1"/>
    <xf numFmtId="164" fontId="6" fillId="0" borderId="23" xfId="0" applyNumberFormat="1" applyFont="1" applyFill="1" applyBorder="1"/>
    <xf numFmtId="164" fontId="6" fillId="0" borderId="13" xfId="0" applyNumberFormat="1" applyFont="1" applyFill="1" applyBorder="1"/>
    <xf numFmtId="0" fontId="0" fillId="0" borderId="0" xfId="0" applyFill="1"/>
    <xf numFmtId="0" fontId="18" fillId="0" borderId="19" xfId="0" applyFont="1" applyBorder="1"/>
    <xf numFmtId="43" fontId="19" fillId="0" borderId="19" xfId="0" applyNumberFormat="1" applyFont="1" applyBorder="1"/>
    <xf numFmtId="0" fontId="0" fillId="10" borderId="18" xfId="0" applyFont="1" applyFill="1" applyBorder="1"/>
    <xf numFmtId="0" fontId="0" fillId="10" borderId="19" xfId="0" applyFont="1" applyFill="1" applyBorder="1"/>
    <xf numFmtId="43" fontId="14" fillId="10" borderId="19" xfId="0" applyNumberFormat="1" applyFont="1" applyFill="1" applyBorder="1"/>
    <xf numFmtId="164" fontId="20" fillId="10" borderId="24" xfId="0" applyNumberFormat="1" applyFont="1" applyFill="1" applyBorder="1"/>
    <xf numFmtId="164" fontId="20" fillId="10" borderId="20" xfId="0" applyNumberFormat="1" applyFont="1" applyFill="1" applyBorder="1"/>
    <xf numFmtId="0" fontId="18" fillId="0" borderId="0" xfId="0" applyFont="1"/>
    <xf numFmtId="0" fontId="18" fillId="0" borderId="18" xfId="0" applyFont="1" applyBorder="1"/>
    <xf numFmtId="43" fontId="21" fillId="0" borderId="19" xfId="0" applyNumberFormat="1" applyFont="1" applyBorder="1"/>
    <xf numFmtId="164" fontId="21" fillId="0" borderId="18" xfId="0" applyNumberFormat="1" applyFont="1" applyFill="1" applyBorder="1"/>
    <xf numFmtId="164" fontId="21" fillId="0" borderId="20" xfId="0" applyNumberFormat="1" applyFont="1" applyFill="1" applyBorder="1"/>
    <xf numFmtId="164" fontId="14" fillId="0" borderId="18" xfId="0" applyNumberFormat="1" applyFont="1" applyFill="1" applyBorder="1"/>
    <xf numFmtId="164" fontId="14" fillId="0" borderId="18" xfId="0" applyNumberFormat="1" applyFont="1" applyBorder="1"/>
    <xf numFmtId="43" fontId="0" fillId="10" borderId="19" xfId="0" applyNumberFormat="1" applyFont="1" applyFill="1" applyBorder="1"/>
    <xf numFmtId="164" fontId="0" fillId="10" borderId="18" xfId="0" applyNumberFormat="1" applyFont="1" applyFill="1" applyBorder="1"/>
    <xf numFmtId="164" fontId="0" fillId="10" borderId="20" xfId="0" applyNumberFormat="1" applyFont="1" applyFill="1" applyBorder="1"/>
    <xf numFmtId="164" fontId="0" fillId="10" borderId="18" xfId="0" applyNumberFormat="1" applyFont="1" applyFill="1" applyBorder="1" applyAlignment="1">
      <alignment vertical="top"/>
    </xf>
    <xf numFmtId="164" fontId="18" fillId="0" borderId="18" xfId="0" applyNumberFormat="1" applyFont="1" applyFill="1" applyBorder="1"/>
    <xf numFmtId="164" fontId="0" fillId="0" borderId="18" xfId="0" applyNumberFormat="1" applyFill="1" applyBorder="1" applyAlignment="1">
      <alignment vertical="top"/>
    </xf>
    <xf numFmtId="164" fontId="0" fillId="0" borderId="24" xfId="0" applyNumberFormat="1" applyFill="1" applyBorder="1" applyAlignment="1">
      <alignment vertical="top"/>
    </xf>
    <xf numFmtId="43" fontId="19" fillId="0" borderId="19" xfId="0" applyNumberFormat="1" applyFont="1" applyFill="1" applyBorder="1"/>
    <xf numFmtId="164" fontId="18" fillId="0" borderId="18" xfId="0" applyNumberFormat="1" applyFont="1" applyFill="1" applyBorder="1" applyAlignment="1">
      <alignment vertical="top"/>
    </xf>
    <xf numFmtId="164" fontId="18" fillId="0" borderId="20" xfId="0" applyNumberFormat="1" applyFont="1" applyFill="1" applyBorder="1"/>
    <xf numFmtId="164" fontId="18" fillId="0" borderId="24" xfId="0" applyNumberFormat="1" applyFont="1" applyFill="1" applyBorder="1" applyAlignment="1">
      <alignment vertical="top"/>
    </xf>
    <xf numFmtId="0" fontId="6" fillId="0" borderId="13" xfId="0" applyFont="1" applyBorder="1"/>
    <xf numFmtId="43" fontId="16" fillId="0" borderId="19" xfId="0" applyNumberFormat="1" applyFont="1" applyFill="1" applyBorder="1" applyAlignment="1">
      <alignment horizontal="left"/>
    </xf>
    <xf numFmtId="0" fontId="0" fillId="0" borderId="13" xfId="0" applyBorder="1"/>
    <xf numFmtId="0" fontId="0" fillId="0" borderId="24" xfId="0" applyBorder="1"/>
    <xf numFmtId="0" fontId="0" fillId="0" borderId="23" xfId="0" applyBorder="1"/>
    <xf numFmtId="164" fontId="0" fillId="10" borderId="13" xfId="0" applyNumberFormat="1" applyFont="1" applyFill="1" applyBorder="1"/>
    <xf numFmtId="164" fontId="0" fillId="10" borderId="23" xfId="0" applyNumberFormat="1" applyFont="1" applyFill="1" applyBorder="1"/>
    <xf numFmtId="0" fontId="6" fillId="10" borderId="18" xfId="0" applyFont="1" applyFill="1" applyBorder="1"/>
    <xf numFmtId="0" fontId="6" fillId="10" borderId="19" xfId="0" applyFont="1" applyFill="1" applyBorder="1"/>
    <xf numFmtId="0" fontId="16" fillId="10" borderId="19" xfId="0" applyFont="1" applyFill="1" applyBorder="1"/>
    <xf numFmtId="164" fontId="6" fillId="10" borderId="18" xfId="0" applyNumberFormat="1" applyFont="1" applyFill="1" applyBorder="1"/>
    <xf numFmtId="164" fontId="6" fillId="10" borderId="20" xfId="0" applyNumberFormat="1" applyFont="1" applyFill="1" applyBorder="1"/>
    <xf numFmtId="164" fontId="6" fillId="10" borderId="13" xfId="0" applyNumberFormat="1" applyFont="1" applyFill="1" applyBorder="1"/>
    <xf numFmtId="164" fontId="6" fillId="10" borderId="23" xfId="0" applyNumberFormat="1" applyFont="1" applyFill="1" applyBorder="1"/>
    <xf numFmtId="0" fontId="22" fillId="0" borderId="19" xfId="0" applyFont="1" applyBorder="1"/>
    <xf numFmtId="0" fontId="23" fillId="0" borderId="0" xfId="0" applyFont="1"/>
    <xf numFmtId="0" fontId="17" fillId="0" borderId="0" xfId="0" quotePrefix="1" applyFont="1" applyFill="1"/>
    <xf numFmtId="164" fontId="7" fillId="0" borderId="18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64" fontId="22" fillId="10" borderId="24" xfId="0" applyNumberFormat="1" applyFont="1" applyFill="1" applyBorder="1"/>
    <xf numFmtId="0" fontId="7" fillId="0" borderId="19" xfId="0" applyFont="1" applyBorder="1"/>
    <xf numFmtId="164" fontId="6" fillId="10" borderId="18" xfId="0" applyNumberFormat="1" applyFont="1" applyFill="1" applyBorder="1" applyAlignment="1">
      <alignment vertical="top"/>
    </xf>
    <xf numFmtId="167" fontId="0" fillId="10" borderId="19" xfId="3" applyNumberFormat="1" applyFont="1" applyFill="1" applyBorder="1"/>
    <xf numFmtId="41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0" fontId="15" fillId="0" borderId="0" xfId="3" applyNumberFormat="1" applyFont="1"/>
    <xf numFmtId="0" fontId="0" fillId="0" borderId="0" xfId="0" applyFill="1" applyAlignment="1">
      <alignment horizontal="left"/>
    </xf>
    <xf numFmtId="171" fontId="0" fillId="0" borderId="0" xfId="0" applyNumberFormat="1" applyFill="1" applyBorder="1"/>
    <xf numFmtId="0" fontId="19" fillId="0" borderId="0" xfId="0" applyFont="1"/>
    <xf numFmtId="0" fontId="19" fillId="0" borderId="0" xfId="0" applyFont="1" applyAlignment="1">
      <alignment horizontal="left"/>
    </xf>
    <xf numFmtId="167" fontId="17" fillId="0" borderId="0" xfId="3" applyNumberFormat="1" applyFont="1"/>
    <xf numFmtId="168" fontId="19" fillId="0" borderId="0" xfId="2" applyNumberFormat="1" applyFont="1"/>
    <xf numFmtId="168" fontId="15" fillId="0" borderId="0" xfId="2" applyNumberFormat="1" applyFont="1"/>
    <xf numFmtId="171" fontId="0" fillId="0" borderId="25" xfId="0" applyNumberFormat="1" applyFill="1" applyBorder="1"/>
    <xf numFmtId="171" fontId="23" fillId="0" borderId="0" xfId="0" applyNumberFormat="1" applyFont="1" applyFill="1"/>
    <xf numFmtId="0" fontId="23" fillId="0" borderId="0" xfId="0" applyFont="1" applyFill="1"/>
    <xf numFmtId="171" fontId="6" fillId="0" borderId="5" xfId="0" applyNumberFormat="1" applyFont="1" applyBorder="1" applyAlignment="1">
      <alignment horizontal="center"/>
    </xf>
    <xf numFmtId="171" fontId="6" fillId="0" borderId="8" xfId="0" applyNumberFormat="1" applyFont="1" applyBorder="1"/>
    <xf numFmtId="14" fontId="14" fillId="0" borderId="0" xfId="0" applyNumberFormat="1" applyFont="1"/>
    <xf numFmtId="0" fontId="4" fillId="0" borderId="0" xfId="0" applyFont="1"/>
    <xf numFmtId="171" fontId="4" fillId="0" borderId="0" xfId="0" applyNumberFormat="1" applyFont="1" applyFill="1"/>
    <xf numFmtId="171" fontId="4" fillId="0" borderId="0" xfId="0" applyNumberFormat="1" applyFont="1"/>
    <xf numFmtId="168" fontId="4" fillId="0" borderId="0" xfId="2" applyNumberFormat="1" applyFont="1" applyBorder="1"/>
    <xf numFmtId="168" fontId="4" fillId="0" borderId="13" xfId="2" applyNumberFormat="1" applyFont="1" applyBorder="1"/>
    <xf numFmtId="0" fontId="4" fillId="0" borderId="0" xfId="0" applyFont="1" applyFill="1"/>
    <xf numFmtId="171" fontId="4" fillId="0" borderId="0" xfId="0" applyNumberFormat="1" applyFont="1" applyFill="1" applyBorder="1"/>
    <xf numFmtId="171" fontId="2" fillId="0" borderId="0" xfId="0" applyNumberFormat="1" applyFont="1" applyAlignment="1">
      <alignment horizontal="center"/>
    </xf>
    <xf numFmtId="168" fontId="4" fillId="0" borderId="0" xfId="2" applyNumberFormat="1" applyFont="1"/>
    <xf numFmtId="171" fontId="6" fillId="0" borderId="0" xfId="0" applyNumberFormat="1" applyFont="1" applyAlignment="1">
      <alignment horizontal="center"/>
    </xf>
    <xf numFmtId="171" fontId="4" fillId="0" borderId="25" xfId="0" applyNumberFormat="1" applyFont="1" applyFill="1" applyBorder="1"/>
    <xf numFmtId="44" fontId="0" fillId="0" borderId="0" xfId="0" applyNumberFormat="1"/>
    <xf numFmtId="168" fontId="1" fillId="0" borderId="14" xfId="2" applyNumberFormat="1" applyFont="1" applyBorder="1"/>
    <xf numFmtId="168" fontId="6" fillId="0" borderId="8" xfId="2" applyNumberFormat="1" applyFont="1" applyBorder="1"/>
    <xf numFmtId="168" fontId="4" fillId="0" borderId="18" xfId="2" applyNumberFormat="1" applyFont="1" applyFill="1" applyBorder="1"/>
    <xf numFmtId="164" fontId="4" fillId="10" borderId="13" xfId="0" applyNumberFormat="1" applyFont="1" applyFill="1" applyBorder="1"/>
    <xf numFmtId="10" fontId="1" fillId="0" borderId="0" xfId="1" applyNumberFormat="1" applyFont="1" applyFill="1" applyBorder="1" applyAlignment="1">
      <alignment horizontal="right"/>
    </xf>
    <xf numFmtId="10" fontId="15" fillId="0" borderId="18" xfId="3" applyNumberFormat="1" applyFont="1" applyFill="1" applyBorder="1"/>
    <xf numFmtId="164" fontId="15" fillId="0" borderId="20" xfId="0" applyNumberFormat="1" applyFont="1" applyFill="1" applyBorder="1"/>
    <xf numFmtId="10" fontId="0" fillId="0" borderId="0" xfId="0" applyNumberFormat="1"/>
    <xf numFmtId="10" fontId="2" fillId="0" borderId="0" xfId="3" applyNumberFormat="1" applyFont="1"/>
    <xf numFmtId="9" fontId="24" fillId="0" borderId="14" xfId="3" applyFont="1" applyBorder="1" applyAlignment="1">
      <alignment horizontal="left"/>
    </xf>
    <xf numFmtId="2" fontId="0" fillId="0" borderId="0" xfId="0" applyNumberFormat="1"/>
    <xf numFmtId="10" fontId="2" fillId="0" borderId="14" xfId="3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44" fontId="2" fillId="5" borderId="7" xfId="1" applyFont="1" applyFill="1" applyBorder="1" applyAlignment="1">
      <alignment horizontal="center"/>
    </xf>
    <xf numFmtId="44" fontId="2" fillId="5" borderId="8" xfId="1" applyFont="1" applyFill="1" applyBorder="1" applyAlignment="1">
      <alignment horizontal="center"/>
    </xf>
    <xf numFmtId="44" fontId="2" fillId="5" borderId="9" xfId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44" fontId="2" fillId="3" borderId="7" xfId="1" applyFont="1" applyFill="1" applyBorder="1" applyAlignment="1">
      <alignment horizontal="center"/>
    </xf>
    <xf numFmtId="44" fontId="2" fillId="3" borderId="8" xfId="1" applyFont="1" applyFill="1" applyBorder="1" applyAlignment="1">
      <alignment horizontal="center"/>
    </xf>
    <xf numFmtId="44" fontId="2" fillId="3" borderId="9" xfId="1" applyFont="1" applyFill="1" applyBorder="1" applyAlignment="1">
      <alignment horizontal="center"/>
    </xf>
    <xf numFmtId="44" fontId="2" fillId="4" borderId="7" xfId="1" applyFont="1" applyFill="1" applyBorder="1" applyAlignment="1">
      <alignment horizontal="center"/>
    </xf>
    <xf numFmtId="44" fontId="2" fillId="4" borderId="8" xfId="1" applyFont="1" applyFill="1" applyBorder="1" applyAlignment="1">
      <alignment horizontal="center"/>
    </xf>
    <xf numFmtId="44" fontId="2" fillId="4" borderId="9" xfId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10" fillId="7" borderId="17" xfId="0" applyNumberFormat="1" applyFont="1" applyFill="1" applyBorder="1" applyAlignment="1" applyProtection="1">
      <alignment horizontal="left" vertical="center" readingOrder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1" borderId="19" xfId="0" applyFill="1" applyBorder="1"/>
    <xf numFmtId="0" fontId="4" fillId="0" borderId="0" xfId="0" applyFont="1" applyAlignment="1">
      <alignment horizontal="left"/>
    </xf>
    <xf numFmtId="10" fontId="25" fillId="0" borderId="0" xfId="3" applyNumberFormat="1" applyFont="1" applyAlignment="1">
      <alignment horizontal="center"/>
    </xf>
    <xf numFmtId="43" fontId="4" fillId="0" borderId="0" xfId="2" applyFont="1" applyFill="1" applyBorder="1"/>
    <xf numFmtId="10" fontId="2" fillId="0" borderId="0" xfId="3" applyNumberFormat="1" applyFont="1" applyBorder="1"/>
  </cellXfs>
  <cellStyles count="5">
    <cellStyle name="Comma" xfId="2" builtinId="3"/>
    <cellStyle name="Currency" xfId="1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8ED5E"/>
      <color rgb="FFFF9F9F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271833</xdr:colOff>
      <xdr:row>0</xdr:row>
      <xdr:rowOff>165100</xdr:rowOff>
    </xdr:from>
    <xdr:to>
      <xdr:col>20</xdr:col>
      <xdr:colOff>449768</xdr:colOff>
      <xdr:row>30</xdr:row>
      <xdr:rowOff>103519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71718-5898-4040-A81C-49D7BACDE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5433" y="165100"/>
          <a:ext cx="4953135" cy="5755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7055</xdr:colOff>
      <xdr:row>0</xdr:row>
      <xdr:rowOff>0</xdr:rowOff>
    </xdr:from>
    <xdr:to>
      <xdr:col>17</xdr:col>
      <xdr:colOff>559162</xdr:colOff>
      <xdr:row>28</xdr:row>
      <xdr:rowOff>123542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6805" y="0"/>
          <a:ext cx="4819307" cy="5857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workbookViewId="0">
      <selection activeCell="B14" sqref="B14"/>
    </sheetView>
  </sheetViews>
  <sheetFormatPr defaultRowHeight="14.5" x14ac:dyDescent="0.35"/>
  <cols>
    <col min="1" max="1" width="26.81640625" bestFit="1" customWidth="1"/>
    <col min="2" max="2" width="28.7265625" customWidth="1"/>
    <col min="3" max="3" width="14.54296875" customWidth="1"/>
    <col min="4" max="4" width="2.1796875" customWidth="1"/>
    <col min="5" max="5" width="18" customWidth="1"/>
    <col min="6" max="6" width="1.54296875" customWidth="1"/>
    <col min="7" max="7" width="17" customWidth="1"/>
    <col min="8" max="8" width="1.81640625" customWidth="1"/>
    <col min="9" max="9" width="15.7265625" customWidth="1"/>
    <col min="10" max="10" width="16.81640625" customWidth="1"/>
    <col min="13" max="13" width="1.7265625" bestFit="1" customWidth="1"/>
    <col min="14" max="14" width="5.54296875" bestFit="1" customWidth="1"/>
  </cols>
  <sheetData>
    <row r="1" spans="1:19" ht="15.5" x14ac:dyDescent="0.35">
      <c r="A1" s="49" t="s">
        <v>207</v>
      </c>
      <c r="C1" s="242" t="s">
        <v>205</v>
      </c>
      <c r="D1" s="242"/>
      <c r="E1" s="242"/>
      <c r="F1" s="242"/>
      <c r="G1" s="242"/>
      <c r="H1" s="242"/>
      <c r="I1" s="242"/>
    </row>
    <row r="2" spans="1:19" ht="15.5" x14ac:dyDescent="0.35">
      <c r="A2" s="217"/>
      <c r="C2" s="242" t="s">
        <v>204</v>
      </c>
      <c r="D2" s="242"/>
      <c r="E2" s="242"/>
      <c r="F2" s="242"/>
      <c r="G2" s="242"/>
      <c r="H2" s="242"/>
      <c r="I2" s="242"/>
    </row>
    <row r="7" spans="1:19" ht="15.5" x14ac:dyDescent="0.35">
      <c r="A7" s="64" t="s">
        <v>196</v>
      </c>
      <c r="B7" s="64"/>
      <c r="C7" s="51"/>
      <c r="D7" s="199"/>
      <c r="E7" s="51"/>
      <c r="F7" s="51"/>
      <c r="G7" s="51"/>
      <c r="H7" s="51"/>
      <c r="I7" s="199"/>
      <c r="J7" s="199"/>
    </row>
    <row r="8" spans="1:19" ht="15.5" x14ac:dyDescent="0.35">
      <c r="B8" s="218" t="s">
        <v>197</v>
      </c>
      <c r="C8" s="200"/>
      <c r="D8" s="200"/>
      <c r="E8" s="200"/>
      <c r="F8" s="200"/>
      <c r="G8" s="200"/>
      <c r="H8" s="200"/>
      <c r="I8" s="200"/>
      <c r="J8" s="219">
        <f>'Allocation Model Detail'!K39</f>
        <v>113534444.0248453</v>
      </c>
    </row>
    <row r="9" spans="1:19" ht="15.5" x14ac:dyDescent="0.35">
      <c r="B9" s="218" t="s">
        <v>245</v>
      </c>
      <c r="C9" s="200"/>
      <c r="D9" s="200"/>
      <c r="E9" s="200"/>
      <c r="F9" s="200"/>
      <c r="G9" s="200"/>
      <c r="H9" s="200"/>
      <c r="I9" s="200"/>
      <c r="J9" s="220">
        <f>'Allocation Model Detail'!K39-'Allocation Model Detail'!K7</f>
        <v>104324789.5456453</v>
      </c>
      <c r="M9" s="201"/>
    </row>
    <row r="10" spans="1:19" x14ac:dyDescent="0.35">
      <c r="C10" s="200"/>
      <c r="D10" s="200"/>
      <c r="E10" s="200"/>
      <c r="F10" s="200"/>
      <c r="G10" s="200"/>
      <c r="H10" s="200"/>
      <c r="I10" s="200"/>
    </row>
    <row r="11" spans="1:19" x14ac:dyDescent="0.35">
      <c r="C11" s="200"/>
      <c r="D11" s="200"/>
      <c r="E11" s="200"/>
      <c r="F11" s="200"/>
      <c r="G11" s="200"/>
      <c r="H11" s="200"/>
      <c r="I11" s="200"/>
      <c r="J11" s="200"/>
    </row>
    <row r="12" spans="1:19" ht="15.5" x14ac:dyDescent="0.35">
      <c r="A12" s="64" t="s">
        <v>198</v>
      </c>
      <c r="C12" s="202"/>
      <c r="D12" s="203"/>
      <c r="E12" s="202"/>
      <c r="F12" s="202"/>
      <c r="G12" s="202"/>
      <c r="H12" s="202"/>
      <c r="I12" s="203"/>
      <c r="J12" s="202"/>
      <c r="L12" s="63"/>
    </row>
    <row r="13" spans="1:19" ht="15.5" x14ac:dyDescent="0.35">
      <c r="A13" s="149" t="s">
        <v>199</v>
      </c>
      <c r="B13" s="149"/>
      <c r="C13" s="200"/>
      <c r="D13" s="200"/>
      <c r="E13" s="200"/>
      <c r="F13" s="200"/>
      <c r="G13" s="200"/>
      <c r="H13" s="200"/>
      <c r="I13" s="200"/>
      <c r="J13" s="221">
        <f>-'Allocation Model Detail'!K45</f>
        <v>-1012192</v>
      </c>
    </row>
    <row r="14" spans="1:19" ht="15.5" x14ac:dyDescent="0.35">
      <c r="A14" s="149" t="s">
        <v>200</v>
      </c>
      <c r="B14" s="149"/>
      <c r="C14" s="200"/>
      <c r="D14" s="200"/>
      <c r="E14" s="200"/>
      <c r="F14" s="200"/>
      <c r="G14" s="200"/>
      <c r="H14" s="200"/>
      <c r="I14" s="200"/>
      <c r="J14" s="221">
        <f>-'Allocation Model Detail'!K55</f>
        <v>-11746929</v>
      </c>
    </row>
    <row r="15" spans="1:19" ht="15.5" x14ac:dyDescent="0.35">
      <c r="A15" s="149" t="s">
        <v>201</v>
      </c>
      <c r="B15" s="149"/>
      <c r="C15" s="200"/>
      <c r="D15" s="200"/>
      <c r="E15" s="200"/>
      <c r="F15" s="200"/>
      <c r="G15" s="200"/>
      <c r="H15" s="200"/>
      <c r="I15" s="200"/>
      <c r="J15" s="222">
        <f>-'Allocation Model Detail'!K62</f>
        <v>-1866498</v>
      </c>
      <c r="S15" s="79"/>
    </row>
    <row r="16" spans="1:19" ht="15.5" x14ac:dyDescent="0.35">
      <c r="A16" t="s">
        <v>202</v>
      </c>
      <c r="C16" s="200"/>
      <c r="D16" s="200"/>
      <c r="E16" s="200"/>
      <c r="F16" s="200"/>
      <c r="G16" s="200"/>
      <c r="H16" s="200"/>
      <c r="I16" s="200"/>
      <c r="J16" s="220">
        <f>J8+J13+J14+J15</f>
        <v>98908825.024845302</v>
      </c>
      <c r="S16" s="79"/>
    </row>
    <row r="17" spans="1:19" x14ac:dyDescent="0.35">
      <c r="N17" s="127"/>
      <c r="S17" s="79"/>
    </row>
    <row r="18" spans="1:19" ht="15.5" x14ac:dyDescent="0.35">
      <c r="A18" s="145" t="s">
        <v>206</v>
      </c>
      <c r="B18" s="223" t="s">
        <v>231</v>
      </c>
      <c r="C18" s="200"/>
      <c r="D18" s="200"/>
      <c r="E18" s="200"/>
      <c r="F18" s="200"/>
      <c r="G18" s="200"/>
      <c r="H18" s="200"/>
      <c r="I18" s="200"/>
      <c r="J18" s="222">
        <f>-'Allocation Model Detail'!K67</f>
        <v>-8696990.6309999991</v>
      </c>
      <c r="K18" s="127"/>
      <c r="L18" s="127"/>
      <c r="M18" s="127"/>
      <c r="N18" s="204"/>
      <c r="S18" s="79"/>
    </row>
    <row r="19" spans="1:19" ht="15.5" x14ac:dyDescent="0.35">
      <c r="A19" s="205" t="s">
        <v>240</v>
      </c>
      <c r="B19" s="149"/>
      <c r="C19" s="200"/>
      <c r="D19" s="200"/>
      <c r="E19" s="200"/>
      <c r="F19" s="200"/>
      <c r="G19" s="200"/>
      <c r="H19" s="200"/>
      <c r="I19" s="200"/>
      <c r="J19" s="224">
        <f>J16+J18</f>
        <v>90211834.393845305</v>
      </c>
      <c r="K19" s="127"/>
    </row>
    <row r="20" spans="1:19" ht="15.5" x14ac:dyDescent="0.35">
      <c r="A20" s="205"/>
      <c r="B20" s="149"/>
      <c r="C20" s="200"/>
      <c r="D20" s="200"/>
      <c r="E20" s="200"/>
      <c r="F20" s="200"/>
      <c r="G20" s="200"/>
      <c r="H20" s="200"/>
      <c r="I20" s="200"/>
      <c r="J20" s="224"/>
      <c r="K20" s="127"/>
    </row>
    <row r="21" spans="1:19" ht="15.5" x14ac:dyDescent="0.35">
      <c r="A21" s="64" t="s">
        <v>232</v>
      </c>
      <c r="B21" s="149"/>
      <c r="C21" s="227" t="s">
        <v>75</v>
      </c>
      <c r="D21" s="200"/>
      <c r="E21" s="227" t="s">
        <v>81</v>
      </c>
      <c r="F21" s="225"/>
      <c r="G21" s="227" t="s">
        <v>209</v>
      </c>
      <c r="H21" s="225"/>
      <c r="I21" s="227" t="s">
        <v>208</v>
      </c>
      <c r="J21" s="206"/>
      <c r="K21" s="127"/>
    </row>
    <row r="22" spans="1:19" s="207" customFormat="1" ht="15.5" x14ac:dyDescent="0.35">
      <c r="A22" s="218" t="s">
        <v>246</v>
      </c>
      <c r="C22" s="226">
        <f>'Allocation Model Detail'!G7</f>
        <v>4959045.5278000003</v>
      </c>
      <c r="D22" s="226"/>
      <c r="E22" s="226">
        <f>'Allocation Model Detail'!I7</f>
        <v>4250608.9513999997</v>
      </c>
      <c r="F22" s="78"/>
      <c r="G22" s="78"/>
      <c r="H22" s="78"/>
      <c r="I22" s="78"/>
      <c r="J22" s="221">
        <f>SUM(C22:E22)</f>
        <v>9209654.4791999999</v>
      </c>
    </row>
    <row r="23" spans="1:19" s="207" customFormat="1" ht="15.5" x14ac:dyDescent="0.35">
      <c r="A23" s="218" t="s">
        <v>233</v>
      </c>
      <c r="C23" s="226">
        <f>'Allocation Model Detail'!G30</f>
        <v>483835.03305233794</v>
      </c>
      <c r="D23" s="226"/>
      <c r="E23" s="226">
        <f>'Allocation Model Detail'!I30</f>
        <v>352954.96694766206</v>
      </c>
      <c r="F23" s="78"/>
      <c r="G23" s="78"/>
      <c r="H23" s="78"/>
      <c r="I23" s="78"/>
      <c r="J23" s="221">
        <f t="shared" ref="J23:J26" si="0">SUM(C23:E23)</f>
        <v>836790</v>
      </c>
    </row>
    <row r="24" spans="1:19" s="207" customFormat="1" ht="15.5" x14ac:dyDescent="0.35">
      <c r="A24" s="218" t="s">
        <v>234</v>
      </c>
      <c r="C24" s="226">
        <f>'Allocation Model Detail'!G31</f>
        <v>937621.9787737279</v>
      </c>
      <c r="D24" s="226"/>
      <c r="E24" s="226">
        <f>'Allocation Model Detail'!I31</f>
        <v>683990.0212262721</v>
      </c>
      <c r="F24" s="78"/>
      <c r="G24" s="78"/>
      <c r="H24" s="78"/>
      <c r="I24" s="78"/>
      <c r="J24" s="221">
        <f t="shared" si="0"/>
        <v>1621612</v>
      </c>
    </row>
    <row r="25" spans="1:19" s="207" customFormat="1" ht="15.5" x14ac:dyDescent="0.35">
      <c r="A25" s="218" t="s">
        <v>236</v>
      </c>
      <c r="C25" s="226">
        <v>0</v>
      </c>
      <c r="D25" s="226"/>
      <c r="E25" s="226">
        <v>0</v>
      </c>
      <c r="F25" s="78"/>
      <c r="G25" s="78"/>
      <c r="H25" s="78"/>
      <c r="I25" s="78"/>
      <c r="J25" s="221">
        <f t="shared" si="0"/>
        <v>0</v>
      </c>
    </row>
    <row r="26" spans="1:19" s="207" customFormat="1" ht="15.5" x14ac:dyDescent="0.35">
      <c r="A26" s="218" t="s">
        <v>235</v>
      </c>
      <c r="C26" s="226">
        <v>0</v>
      </c>
      <c r="D26" s="226"/>
      <c r="E26" s="226">
        <v>0</v>
      </c>
      <c r="F26" s="78"/>
      <c r="G26" s="78"/>
      <c r="H26" s="78"/>
      <c r="I26" s="78"/>
      <c r="J26" s="221">
        <f t="shared" si="0"/>
        <v>0</v>
      </c>
    </row>
    <row r="27" spans="1:19" s="207" customFormat="1" ht="15.5" x14ac:dyDescent="0.35">
      <c r="A27" s="218"/>
      <c r="C27" s="226"/>
      <c r="D27" s="226"/>
      <c r="E27" s="226"/>
      <c r="F27" s="78"/>
      <c r="G27" s="78"/>
      <c r="H27" s="78"/>
      <c r="I27" s="78"/>
      <c r="J27" s="221"/>
    </row>
    <row r="28" spans="1:19" s="207" customFormat="1" ht="15.5" x14ac:dyDescent="0.35">
      <c r="A28" s="264" t="s">
        <v>239</v>
      </c>
      <c r="C28" s="226">
        <f>SUM(C22:C26)</f>
        <v>6380502.5396260666</v>
      </c>
      <c r="D28" s="209"/>
      <c r="E28" s="226">
        <f>SUM(E22:E26)</f>
        <v>5287553.9395739334</v>
      </c>
      <c r="F28" s="209"/>
      <c r="G28" s="209"/>
      <c r="H28" s="209"/>
      <c r="I28" s="210"/>
      <c r="J28" s="222">
        <f>C28+E28</f>
        <v>11668056.4792</v>
      </c>
    </row>
    <row r="29" spans="1:19" s="207" customFormat="1" ht="15.5" x14ac:dyDescent="0.35">
      <c r="A29" s="205" t="s">
        <v>240</v>
      </c>
      <c r="C29" s="209"/>
      <c r="D29" s="209"/>
      <c r="E29" s="209"/>
      <c r="F29" s="209"/>
      <c r="G29" s="209"/>
      <c r="H29" s="209"/>
      <c r="I29" s="210"/>
      <c r="J29" s="226">
        <f>J19-J28</f>
        <v>78543777.914645299</v>
      </c>
    </row>
    <row r="30" spans="1:19" s="207" customFormat="1" ht="15.5" x14ac:dyDescent="0.35">
      <c r="A30" s="208"/>
      <c r="C30" s="210"/>
      <c r="D30" s="210"/>
      <c r="E30" s="210"/>
      <c r="F30" s="210"/>
      <c r="G30" s="210"/>
      <c r="H30" s="210"/>
      <c r="I30" s="210"/>
      <c r="J30" s="211"/>
    </row>
    <row r="31" spans="1:19" ht="15.5" x14ac:dyDescent="0.35">
      <c r="A31" s="64" t="s">
        <v>241</v>
      </c>
      <c r="C31" s="220"/>
      <c r="D31" s="220"/>
      <c r="E31" s="220"/>
      <c r="F31" s="200"/>
      <c r="G31" s="200"/>
      <c r="H31" s="200"/>
      <c r="I31" s="220">
        <f>9994177*(1+'Variable Table'!G5)-0.105*(8696991-8134574)-0.105*(-333282)</f>
        <v>10476822.5989</v>
      </c>
      <c r="J31" s="220"/>
      <c r="M31" s="200"/>
    </row>
    <row r="32" spans="1:19" ht="15.5" x14ac:dyDescent="0.35">
      <c r="A32" s="205" t="s">
        <v>240</v>
      </c>
      <c r="C32" s="220"/>
      <c r="D32" s="220"/>
      <c r="E32" s="220"/>
      <c r="F32" s="200"/>
      <c r="G32" s="200"/>
      <c r="H32" s="200"/>
      <c r="I32" s="200"/>
      <c r="J32" s="220">
        <f>J29-I31</f>
        <v>68066955.315745294</v>
      </c>
      <c r="M32" s="200"/>
    </row>
    <row r="33" spans="1:21" ht="15.5" x14ac:dyDescent="0.35">
      <c r="A33" s="205"/>
      <c r="C33" s="220"/>
      <c r="D33" s="220"/>
      <c r="E33" s="220"/>
      <c r="F33" s="200"/>
      <c r="G33" s="200"/>
      <c r="H33" s="200"/>
      <c r="I33" s="200"/>
      <c r="J33" s="220"/>
      <c r="M33" s="200"/>
    </row>
    <row r="34" spans="1:21" ht="15.5" x14ac:dyDescent="0.35">
      <c r="A34" s="64" t="s">
        <v>242</v>
      </c>
      <c r="C34" s="220">
        <f>J32*'District Summary 21-22'!H3</f>
        <v>40657563.285376713</v>
      </c>
      <c r="D34" s="220"/>
      <c r="E34" s="220">
        <f>J32*'District Summary 21-22'!H4</f>
        <v>27409392.030368585</v>
      </c>
      <c r="F34" s="200"/>
      <c r="G34" s="200"/>
      <c r="H34" s="200"/>
      <c r="I34" s="200"/>
      <c r="J34" s="220">
        <f>SUM(C34:I34)</f>
        <v>68066955.315745294</v>
      </c>
      <c r="M34" s="200"/>
    </row>
    <row r="35" spans="1:21" ht="15.5" x14ac:dyDescent="0.35">
      <c r="A35" s="205"/>
      <c r="C35" s="265">
        <f>C34/J34</f>
        <v>0.59731720181660275</v>
      </c>
      <c r="D35" s="220"/>
      <c r="E35" s="265">
        <f>E34/J34</f>
        <v>0.40268279818339731</v>
      </c>
      <c r="F35" s="200"/>
      <c r="G35" s="200"/>
      <c r="H35" s="200"/>
      <c r="I35" s="200"/>
      <c r="J35" s="220"/>
      <c r="M35" s="200"/>
    </row>
    <row r="36" spans="1:21" ht="15.5" x14ac:dyDescent="0.35">
      <c r="A36" s="205"/>
      <c r="C36" s="265"/>
      <c r="D36" s="220"/>
      <c r="E36" s="265"/>
      <c r="F36" s="200"/>
      <c r="G36" s="200"/>
      <c r="H36" s="200"/>
      <c r="I36" s="200"/>
      <c r="J36" s="220"/>
      <c r="M36" s="200"/>
    </row>
    <row r="37" spans="1:21" ht="16" thickBot="1" x14ac:dyDescent="0.4">
      <c r="C37" s="215" t="s">
        <v>75</v>
      </c>
      <c r="D37" s="215"/>
      <c r="E37" s="215" t="s">
        <v>81</v>
      </c>
      <c r="F37" s="215"/>
      <c r="G37" s="215" t="s">
        <v>209</v>
      </c>
      <c r="H37" s="215"/>
      <c r="I37" s="215" t="s">
        <v>208</v>
      </c>
      <c r="J37" s="215" t="s">
        <v>23</v>
      </c>
    </row>
    <row r="38" spans="1:21" s="149" customFormat="1" ht="16" thickBot="1" x14ac:dyDescent="0.4">
      <c r="A38" s="145" t="s">
        <v>243</v>
      </c>
      <c r="C38" s="228">
        <f>C34+C28</f>
        <v>47038065.825002782</v>
      </c>
      <c r="D38" s="228"/>
      <c r="E38" s="228">
        <f>E34+E28</f>
        <v>32696945.969942518</v>
      </c>
      <c r="F38" s="212"/>
      <c r="G38" s="228">
        <f>-J18</f>
        <v>8696990.6309999991</v>
      </c>
      <c r="H38" s="212"/>
      <c r="I38" s="228">
        <f>I31</f>
        <v>10476822.5989</v>
      </c>
      <c r="J38" s="228">
        <f>SUM(C38:I38)</f>
        <v>98908825.024845302</v>
      </c>
      <c r="L38" s="213"/>
      <c r="M38" s="214" t="s">
        <v>147</v>
      </c>
    </row>
    <row r="39" spans="1:21" s="149" customFormat="1" ht="16" thickTop="1" x14ac:dyDescent="0.35">
      <c r="A39" s="145"/>
      <c r="C39" s="224"/>
      <c r="D39" s="224"/>
      <c r="E39" s="224"/>
      <c r="F39" s="206"/>
      <c r="G39" s="206"/>
      <c r="H39" s="206"/>
      <c r="I39" s="206"/>
      <c r="J39" s="266">
        <f>J38-J16</f>
        <v>0</v>
      </c>
      <c r="K39" s="149" t="s">
        <v>210</v>
      </c>
      <c r="L39" s="213"/>
      <c r="M39" s="214"/>
    </row>
    <row r="40" spans="1:21" s="149" customFormat="1" ht="15.5" x14ac:dyDescent="0.35">
      <c r="A40" s="64" t="s">
        <v>247</v>
      </c>
      <c r="C40" s="224"/>
      <c r="D40" s="224"/>
      <c r="E40" s="224"/>
      <c r="F40" s="206"/>
      <c r="G40" s="206"/>
      <c r="H40" s="206"/>
      <c r="I40" s="206"/>
      <c r="J40" s="224"/>
      <c r="L40" s="213"/>
      <c r="M40" s="214"/>
    </row>
    <row r="41" spans="1:21" s="149" customFormat="1" ht="15.5" x14ac:dyDescent="0.35">
      <c r="A41" s="218" t="s">
        <v>249</v>
      </c>
      <c r="C41" s="224">
        <f>'District Summary 21-22'!G5*0.55*'FTES Allocation'!F20</f>
        <v>3509312.4564287313</v>
      </c>
      <c r="D41" s="224"/>
      <c r="E41" s="224">
        <f>'District Summary 21-22'!G5*0.55*'FTES Allocation'!F31</f>
        <v>2560023.9285149812</v>
      </c>
      <c r="F41" s="206"/>
      <c r="G41" s="206"/>
      <c r="H41" s="206"/>
      <c r="I41" s="206"/>
      <c r="J41" s="224"/>
      <c r="L41" s="213"/>
      <c r="M41" s="214"/>
    </row>
    <row r="42" spans="1:21" s="149" customFormat="1" ht="15.5" x14ac:dyDescent="0.35">
      <c r="A42" s="127" t="s">
        <v>248</v>
      </c>
      <c r="C42" s="224"/>
      <c r="D42" s="224"/>
      <c r="E42" s="224"/>
      <c r="F42" s="206"/>
      <c r="G42" s="206"/>
      <c r="H42" s="206"/>
      <c r="I42" s="206"/>
      <c r="J42" s="224"/>
      <c r="L42" s="213"/>
      <c r="M42" s="214"/>
    </row>
    <row r="43" spans="1:21" s="149" customFormat="1" ht="15.5" x14ac:dyDescent="0.35">
      <c r="A43" s="145"/>
      <c r="C43" s="224"/>
      <c r="D43" s="224"/>
      <c r="E43" s="224"/>
      <c r="F43" s="206"/>
      <c r="G43" s="206"/>
      <c r="H43" s="206"/>
      <c r="I43" s="206"/>
      <c r="J43" s="224"/>
      <c r="L43" s="213"/>
      <c r="M43" s="214"/>
    </row>
    <row r="44" spans="1:21" s="149" customFormat="1" ht="15.5" x14ac:dyDescent="0.35">
      <c r="A44" s="145"/>
      <c r="C44" s="224"/>
      <c r="D44" s="224"/>
      <c r="E44" s="224"/>
      <c r="F44" s="206"/>
      <c r="G44" s="206"/>
      <c r="H44" s="206"/>
      <c r="I44" s="206"/>
      <c r="J44" s="224"/>
      <c r="L44" s="213"/>
      <c r="M44" s="214"/>
    </row>
    <row r="45" spans="1:21" x14ac:dyDescent="0.35">
      <c r="C45" s="209"/>
      <c r="D45" s="200"/>
      <c r="E45" s="209"/>
      <c r="F45" s="209"/>
      <c r="G45" s="209"/>
      <c r="H45" s="209"/>
      <c r="I45" s="200"/>
      <c r="J45" s="209">
        <f>J38/J38</f>
        <v>1</v>
      </c>
      <c r="L45" s="63"/>
    </row>
    <row r="46" spans="1:21" ht="10.5" customHeight="1" x14ac:dyDescent="0.35">
      <c r="C46" s="200"/>
      <c r="D46" s="200"/>
      <c r="E46" s="200"/>
      <c r="F46" s="200"/>
      <c r="G46" s="200"/>
      <c r="H46" s="200"/>
      <c r="I46" s="200"/>
      <c r="J46" s="200"/>
      <c r="L46" s="63"/>
    </row>
    <row r="47" spans="1:21" ht="16" thickBot="1" x14ac:dyDescent="0.4">
      <c r="A47" s="64" t="s">
        <v>203</v>
      </c>
      <c r="C47" s="215" t="s">
        <v>75</v>
      </c>
      <c r="D47" s="215"/>
      <c r="E47" s="215" t="s">
        <v>81</v>
      </c>
      <c r="F47" s="215"/>
      <c r="G47" s="215" t="s">
        <v>209</v>
      </c>
      <c r="H47" s="215"/>
      <c r="I47" s="227" t="s">
        <v>208</v>
      </c>
      <c r="J47" s="215" t="s">
        <v>23</v>
      </c>
      <c r="L47" s="63"/>
    </row>
    <row r="48" spans="1:21" ht="16" thickBot="1" x14ac:dyDescent="0.4">
      <c r="A48" s="216" t="s">
        <v>207</v>
      </c>
      <c r="B48" s="216"/>
      <c r="C48" s="216">
        <f>C38+C41</f>
        <v>50547378.281431511</v>
      </c>
      <c r="D48" s="216"/>
      <c r="E48" s="216">
        <f>E38+E41</f>
        <v>35256969.898457497</v>
      </c>
      <c r="F48" s="216"/>
      <c r="G48" s="216">
        <f>-J18</f>
        <v>8696990.6309999991</v>
      </c>
      <c r="H48" s="216"/>
      <c r="I48" s="216">
        <f>I38</f>
        <v>10476822.5989</v>
      </c>
      <c r="J48" s="231">
        <f>SUM(C48:I48)</f>
        <v>104978161.40978901</v>
      </c>
      <c r="K48" s="114"/>
      <c r="L48" s="206"/>
      <c r="N48" s="149"/>
      <c r="O48" s="149"/>
      <c r="P48" s="149"/>
      <c r="Q48" s="149"/>
      <c r="R48" s="149"/>
      <c r="S48" s="149"/>
      <c r="T48" s="149"/>
      <c r="U48" s="149"/>
    </row>
    <row r="50" spans="10:11" x14ac:dyDescent="0.35">
      <c r="J50" s="38">
        <f>J48-'Allocation Model Detail'!K64-C41-E41</f>
        <v>-3.7252902984619141E-9</v>
      </c>
      <c r="K50" t="s">
        <v>210</v>
      </c>
    </row>
  </sheetData>
  <mergeCells count="2">
    <mergeCell ref="C1:I1"/>
    <mergeCell ref="C2:I2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4"/>
  <sheetViews>
    <sheetView zoomScale="110" zoomScaleNormal="110" workbookViewId="0">
      <selection activeCell="B64" sqref="B64"/>
    </sheetView>
  </sheetViews>
  <sheetFormatPr defaultRowHeight="14.5" x14ac:dyDescent="0.35"/>
  <cols>
    <col min="1" max="1" width="29" bestFit="1" customWidth="1"/>
    <col min="2" max="3" width="13.54296875" bestFit="1" customWidth="1"/>
    <col min="4" max="5" width="1.453125" customWidth="1"/>
    <col min="6" max="6" width="14.1796875" bestFit="1" customWidth="1"/>
    <col min="14" max="14" width="29" bestFit="1" customWidth="1"/>
    <col min="15" max="15" width="15.453125" customWidth="1"/>
    <col min="16" max="16" width="14.26953125" bestFit="1" customWidth="1"/>
  </cols>
  <sheetData>
    <row r="1" spans="1:16" x14ac:dyDescent="0.35">
      <c r="A1" s="49" t="s">
        <v>52</v>
      </c>
    </row>
    <row r="2" spans="1:16" x14ac:dyDescent="0.35">
      <c r="B2" s="261" t="s">
        <v>80</v>
      </c>
      <c r="C2" s="261"/>
      <c r="O2" s="261" t="s">
        <v>59</v>
      </c>
      <c r="P2" s="261"/>
    </row>
    <row r="3" spans="1:16" x14ac:dyDescent="0.35">
      <c r="B3" s="261" t="s">
        <v>62</v>
      </c>
      <c r="C3" s="261"/>
      <c r="O3" s="261" t="s">
        <v>62</v>
      </c>
      <c r="P3" s="261"/>
    </row>
    <row r="4" spans="1:16" ht="15" thickBot="1" x14ac:dyDescent="0.4">
      <c r="B4" s="63" t="s">
        <v>48</v>
      </c>
      <c r="C4" s="63" t="s">
        <v>49</v>
      </c>
      <c r="O4" s="63" t="s">
        <v>48</v>
      </c>
      <c r="P4" s="63" t="s">
        <v>49</v>
      </c>
    </row>
    <row r="5" spans="1:16" ht="16" thickBot="1" x14ac:dyDescent="0.4">
      <c r="A5" t="s">
        <v>16</v>
      </c>
      <c r="B5" s="6">
        <f t="shared" ref="B5:B10" si="0">VLOOKUP(A5,$N$5:$P$10,2,FALSE)*(1+$G$5)</f>
        <v>4959045.5278000003</v>
      </c>
      <c r="C5" s="6">
        <f t="shared" ref="C5:C10" si="1">VLOOKUP(A5,$N$5:$P$10,3,FALSE)*(1+$G$5)</f>
        <v>4250608.9513999997</v>
      </c>
      <c r="F5" s="49" t="s">
        <v>36</v>
      </c>
      <c r="G5" s="66">
        <v>5.0700000000000002E-2</v>
      </c>
      <c r="H5" s="64" t="s">
        <v>51</v>
      </c>
      <c r="N5" t="s">
        <v>16</v>
      </c>
      <c r="O5" s="65">
        <f>4719754</f>
        <v>4719754</v>
      </c>
      <c r="P5" s="65">
        <f>4045502</f>
        <v>4045502</v>
      </c>
    </row>
    <row r="6" spans="1:16" x14ac:dyDescent="0.35">
      <c r="A6" t="s">
        <v>54</v>
      </c>
      <c r="B6" s="6">
        <f t="shared" si="0"/>
        <v>4212.2563</v>
      </c>
      <c r="C6" s="6">
        <f t="shared" si="1"/>
        <v>4212.2563</v>
      </c>
      <c r="N6" t="s">
        <v>54</v>
      </c>
      <c r="O6" s="65">
        <v>4009</v>
      </c>
      <c r="P6" s="65">
        <v>4009</v>
      </c>
    </row>
    <row r="7" spans="1:16" x14ac:dyDescent="0.35">
      <c r="A7" t="s">
        <v>55</v>
      </c>
      <c r="B7" s="6">
        <f t="shared" si="0"/>
        <v>5906.9723579999991</v>
      </c>
      <c r="C7" s="6">
        <f t="shared" si="1"/>
        <v>5906.9723579999991</v>
      </c>
      <c r="N7" t="s">
        <v>55</v>
      </c>
      <c r="O7" s="65">
        <v>5621.94</v>
      </c>
      <c r="P7" s="65">
        <v>5621.94</v>
      </c>
    </row>
    <row r="8" spans="1:16" x14ac:dyDescent="0.35">
      <c r="A8" t="s">
        <v>56</v>
      </c>
      <c r="B8" s="6">
        <f t="shared" si="0"/>
        <v>5906.9723579999991</v>
      </c>
      <c r="C8" s="6">
        <f t="shared" si="1"/>
        <v>5906.9723579999991</v>
      </c>
      <c r="N8" t="s">
        <v>56</v>
      </c>
      <c r="O8" s="65">
        <v>5621.94</v>
      </c>
      <c r="P8" s="65">
        <v>5621.94</v>
      </c>
    </row>
    <row r="9" spans="1:16" x14ac:dyDescent="0.35">
      <c r="A9" t="s">
        <v>57</v>
      </c>
      <c r="B9" s="6">
        <f t="shared" si="0"/>
        <v>5906.9723579999991</v>
      </c>
      <c r="C9" s="6">
        <f t="shared" si="1"/>
        <v>5906.9723579999991</v>
      </c>
      <c r="N9" t="s">
        <v>57</v>
      </c>
      <c r="O9" s="65">
        <v>5621.94</v>
      </c>
      <c r="P9" s="65">
        <v>5621.94</v>
      </c>
    </row>
    <row r="10" spans="1:16" x14ac:dyDescent="0.35">
      <c r="A10" t="s">
        <v>58</v>
      </c>
      <c r="B10" s="6">
        <f t="shared" si="0"/>
        <v>3552.0279409999998</v>
      </c>
      <c r="C10" s="6">
        <f t="shared" si="1"/>
        <v>3552.0279409999998</v>
      </c>
      <c r="N10" t="s">
        <v>58</v>
      </c>
      <c r="O10" s="65">
        <v>3380.63</v>
      </c>
      <c r="P10" s="65">
        <v>3380.63</v>
      </c>
    </row>
    <row r="11" spans="1:16" x14ac:dyDescent="0.35">
      <c r="B11" s="6"/>
      <c r="C11" s="6"/>
      <c r="O11" s="67"/>
      <c r="P11" s="67"/>
    </row>
    <row r="12" spans="1:16" x14ac:dyDescent="0.35">
      <c r="B12" s="261" t="s">
        <v>63</v>
      </c>
      <c r="C12" s="261"/>
      <c r="O12" s="261" t="s">
        <v>63</v>
      </c>
      <c r="P12" s="261"/>
    </row>
    <row r="13" spans="1:16" x14ac:dyDescent="0.35">
      <c r="B13" t="s">
        <v>60</v>
      </c>
      <c r="C13" t="s">
        <v>61</v>
      </c>
      <c r="O13" t="s">
        <v>60</v>
      </c>
      <c r="P13" t="s">
        <v>61</v>
      </c>
    </row>
    <row r="14" spans="1:16" x14ac:dyDescent="0.35">
      <c r="A14" s="11" t="s">
        <v>33</v>
      </c>
      <c r="B14" s="69">
        <f>VLOOKUP(A14,$N$14:$P$16,2,FALSE)</f>
        <v>1</v>
      </c>
      <c r="C14" s="67">
        <f>VLOOKUP(A14,$N$14:$P$16,3,FALSE)*(1+$G$5)</f>
        <v>996.06359999999995</v>
      </c>
      <c r="N14" s="11" t="s">
        <v>33</v>
      </c>
      <c r="O14" s="68">
        <v>1</v>
      </c>
      <c r="P14" s="65">
        <v>948</v>
      </c>
    </row>
    <row r="15" spans="1:16" x14ac:dyDescent="0.35">
      <c r="A15" s="11" t="s">
        <v>17</v>
      </c>
      <c r="B15" s="69">
        <f t="shared" ref="B15:B16" si="2">VLOOKUP(A15,$N$14:$P$16,2,FALSE)</f>
        <v>1</v>
      </c>
      <c r="C15" s="67">
        <f>VLOOKUP(A15,$N$14:$P$16,3,FALSE)*(1+$G$5)</f>
        <v>996.06359999999995</v>
      </c>
      <c r="N15" s="11" t="s">
        <v>17</v>
      </c>
      <c r="O15" s="68">
        <v>1</v>
      </c>
      <c r="P15" s="65">
        <v>948</v>
      </c>
    </row>
    <row r="16" spans="1:16" x14ac:dyDescent="0.35">
      <c r="A16" s="11" t="s">
        <v>13</v>
      </c>
      <c r="B16" s="69">
        <f t="shared" si="2"/>
        <v>1</v>
      </c>
      <c r="C16" s="67">
        <f>VLOOKUP(A16,$N$14:$P$16,3,FALSE)*(1+$G$5)</f>
        <v>996.06359999999995</v>
      </c>
      <c r="N16" s="11" t="s">
        <v>13</v>
      </c>
      <c r="O16" s="68">
        <v>1</v>
      </c>
      <c r="P16" s="65">
        <v>948</v>
      </c>
    </row>
    <row r="18" spans="1:16" x14ac:dyDescent="0.35">
      <c r="B18" s="261" t="s">
        <v>64</v>
      </c>
      <c r="C18" s="261"/>
      <c r="O18" s="261" t="s">
        <v>64</v>
      </c>
      <c r="P18" s="261"/>
    </row>
    <row r="19" spans="1:16" x14ac:dyDescent="0.35">
      <c r="A19" s="49" t="s">
        <v>65</v>
      </c>
      <c r="B19" t="s">
        <v>60</v>
      </c>
      <c r="C19" t="s">
        <v>61</v>
      </c>
      <c r="N19" s="49" t="s">
        <v>65</v>
      </c>
      <c r="O19" t="s">
        <v>60</v>
      </c>
      <c r="P19" t="s">
        <v>61</v>
      </c>
    </row>
    <row r="20" spans="1:16" x14ac:dyDescent="0.35">
      <c r="A20" t="s">
        <v>22</v>
      </c>
      <c r="B20" s="69">
        <f>VLOOKUP(A20,$N$20:$P$27,2,FALSE)</f>
        <v>4</v>
      </c>
      <c r="C20" s="67">
        <f t="shared" ref="C20:C27" si="3">VLOOKUP(A20,$N$20:$P$27,3,FALSE)*(1+$G$5)</f>
        <v>587.34129999999993</v>
      </c>
      <c r="N20" t="s">
        <v>22</v>
      </c>
      <c r="O20" s="68">
        <v>4</v>
      </c>
      <c r="P20" s="65">
        <v>559</v>
      </c>
    </row>
    <row r="21" spans="1:16" x14ac:dyDescent="0.35">
      <c r="A21" t="s">
        <v>66</v>
      </c>
      <c r="B21" s="69">
        <f t="shared" ref="B21:B27" si="4">VLOOKUP(A21,$N$20:$P$27,2,FALSE)</f>
        <v>3</v>
      </c>
      <c r="C21" s="67">
        <f t="shared" si="3"/>
        <v>587.34129999999993</v>
      </c>
      <c r="N21" t="s">
        <v>66</v>
      </c>
      <c r="O21" s="68">
        <v>3</v>
      </c>
      <c r="P21" s="65">
        <v>559</v>
      </c>
    </row>
    <row r="22" spans="1:16" x14ac:dyDescent="0.35">
      <c r="A22" t="s">
        <v>67</v>
      </c>
      <c r="B22" s="69">
        <f t="shared" si="4"/>
        <v>3</v>
      </c>
      <c r="C22" s="67">
        <f t="shared" si="3"/>
        <v>587.34129999999993</v>
      </c>
      <c r="N22" t="s">
        <v>67</v>
      </c>
      <c r="O22" s="68">
        <v>3</v>
      </c>
      <c r="P22" s="65">
        <v>559</v>
      </c>
    </row>
    <row r="23" spans="1:16" x14ac:dyDescent="0.35">
      <c r="A23" t="s">
        <v>68</v>
      </c>
      <c r="B23" s="69">
        <f t="shared" si="4"/>
        <v>2</v>
      </c>
      <c r="C23" s="67">
        <f t="shared" si="3"/>
        <v>587.34129999999993</v>
      </c>
      <c r="N23" t="s">
        <v>68</v>
      </c>
      <c r="O23" s="68">
        <v>2</v>
      </c>
      <c r="P23" s="65">
        <v>559</v>
      </c>
    </row>
    <row r="24" spans="1:16" x14ac:dyDescent="0.35">
      <c r="A24" t="s">
        <v>69</v>
      </c>
      <c r="B24" s="69">
        <f t="shared" si="4"/>
        <v>2</v>
      </c>
      <c r="C24" s="67">
        <f t="shared" si="3"/>
        <v>587.34129999999993</v>
      </c>
      <c r="N24" t="s">
        <v>69</v>
      </c>
      <c r="O24" s="68">
        <v>2</v>
      </c>
      <c r="P24" s="65">
        <v>559</v>
      </c>
    </row>
    <row r="25" spans="1:16" x14ac:dyDescent="0.35">
      <c r="A25" t="s">
        <v>70</v>
      </c>
      <c r="B25" s="69">
        <f t="shared" si="4"/>
        <v>1.5</v>
      </c>
      <c r="C25" s="67">
        <f t="shared" si="3"/>
        <v>587.34129999999993</v>
      </c>
      <c r="N25" t="s">
        <v>70</v>
      </c>
      <c r="O25" s="68">
        <v>1.5</v>
      </c>
      <c r="P25" s="65">
        <v>559</v>
      </c>
    </row>
    <row r="26" spans="1:16" x14ac:dyDescent="0.35">
      <c r="A26" t="s">
        <v>71</v>
      </c>
      <c r="B26" s="69">
        <f t="shared" si="4"/>
        <v>1</v>
      </c>
      <c r="C26" s="67">
        <f t="shared" si="3"/>
        <v>587.34129999999993</v>
      </c>
      <c r="N26" t="s">
        <v>71</v>
      </c>
      <c r="O26" s="68">
        <v>1</v>
      </c>
      <c r="P26" s="65">
        <v>559</v>
      </c>
    </row>
    <row r="27" spans="1:16" x14ac:dyDescent="0.35">
      <c r="A27" t="s">
        <v>72</v>
      </c>
      <c r="B27" s="69">
        <f t="shared" si="4"/>
        <v>1</v>
      </c>
      <c r="C27" s="67">
        <f t="shared" si="3"/>
        <v>587.34129999999993</v>
      </c>
      <c r="N27" t="s">
        <v>72</v>
      </c>
      <c r="O27" s="68">
        <v>1</v>
      </c>
      <c r="P27" s="65">
        <v>559</v>
      </c>
    </row>
    <row r="28" spans="1:16" x14ac:dyDescent="0.35">
      <c r="B28" s="38"/>
      <c r="G28" s="240"/>
      <c r="O28" s="38"/>
    </row>
    <row r="29" spans="1:16" x14ac:dyDescent="0.35">
      <c r="A29" s="49" t="s">
        <v>73</v>
      </c>
      <c r="B29" s="38"/>
      <c r="N29" s="49" t="s">
        <v>73</v>
      </c>
      <c r="O29" s="38"/>
    </row>
    <row r="30" spans="1:16" x14ac:dyDescent="0.35">
      <c r="A30" t="s">
        <v>22</v>
      </c>
      <c r="B30" s="69">
        <f>VLOOKUP(A30,$N$30:$P$37,2,FALSE)</f>
        <v>6</v>
      </c>
      <c r="C30" s="67">
        <f t="shared" ref="C30:C37" si="5">VLOOKUP(A30,$N$30:$P$37,3,FALSE)*(1+$G$5)</f>
        <v>148.14869999999999</v>
      </c>
      <c r="N30" t="s">
        <v>22</v>
      </c>
      <c r="O30" s="68">
        <v>6</v>
      </c>
      <c r="P30" s="65">
        <v>141</v>
      </c>
    </row>
    <row r="31" spans="1:16" x14ac:dyDescent="0.35">
      <c r="A31" t="s">
        <v>66</v>
      </c>
      <c r="B31" s="69">
        <f t="shared" ref="B31:B37" si="6">VLOOKUP(A31,$N$30:$P$37,2,FALSE)</f>
        <v>4.5</v>
      </c>
      <c r="C31" s="67">
        <f t="shared" si="5"/>
        <v>148.14869999999999</v>
      </c>
      <c r="N31" t="s">
        <v>66</v>
      </c>
      <c r="O31" s="68">
        <v>4.5</v>
      </c>
      <c r="P31" s="65">
        <v>141</v>
      </c>
    </row>
    <row r="32" spans="1:16" x14ac:dyDescent="0.35">
      <c r="A32" t="s">
        <v>67</v>
      </c>
      <c r="B32" s="69">
        <f t="shared" si="6"/>
        <v>4.5</v>
      </c>
      <c r="C32" s="67">
        <f t="shared" si="5"/>
        <v>148.14869999999999</v>
      </c>
      <c r="N32" t="s">
        <v>67</v>
      </c>
      <c r="O32" s="68">
        <v>4.5</v>
      </c>
      <c r="P32" s="65">
        <v>141</v>
      </c>
    </row>
    <row r="33" spans="1:16" x14ac:dyDescent="0.35">
      <c r="A33" t="s">
        <v>68</v>
      </c>
      <c r="B33" s="69">
        <f t="shared" si="6"/>
        <v>3</v>
      </c>
      <c r="C33" s="67">
        <f t="shared" si="5"/>
        <v>148.14869999999999</v>
      </c>
      <c r="N33" t="s">
        <v>68</v>
      </c>
      <c r="O33" s="68">
        <v>3</v>
      </c>
      <c r="P33" s="65">
        <v>141</v>
      </c>
    </row>
    <row r="34" spans="1:16" x14ac:dyDescent="0.35">
      <c r="A34" t="s">
        <v>69</v>
      </c>
      <c r="B34" s="69">
        <f t="shared" si="6"/>
        <v>3</v>
      </c>
      <c r="C34" s="67">
        <f t="shared" si="5"/>
        <v>148.14869999999999</v>
      </c>
      <c r="N34" t="s">
        <v>69</v>
      </c>
      <c r="O34" s="68">
        <v>3</v>
      </c>
      <c r="P34" s="65">
        <v>141</v>
      </c>
    </row>
    <row r="35" spans="1:16" x14ac:dyDescent="0.35">
      <c r="A35" t="s">
        <v>70</v>
      </c>
      <c r="B35" s="69">
        <f t="shared" si="6"/>
        <v>2.25</v>
      </c>
      <c r="C35" s="67">
        <f t="shared" si="5"/>
        <v>148.14869999999999</v>
      </c>
      <c r="N35" t="s">
        <v>70</v>
      </c>
      <c r="O35" s="68">
        <v>2.25</v>
      </c>
      <c r="P35" s="65">
        <v>141</v>
      </c>
    </row>
    <row r="36" spans="1:16" x14ac:dyDescent="0.35">
      <c r="A36" t="s">
        <v>71</v>
      </c>
      <c r="B36" s="69">
        <f t="shared" si="6"/>
        <v>1.5</v>
      </c>
      <c r="C36" s="67">
        <f t="shared" si="5"/>
        <v>148.14869999999999</v>
      </c>
      <c r="N36" t="s">
        <v>71</v>
      </c>
      <c r="O36" s="68">
        <v>1.5</v>
      </c>
      <c r="P36" s="65">
        <v>141</v>
      </c>
    </row>
    <row r="37" spans="1:16" x14ac:dyDescent="0.35">
      <c r="A37" t="s">
        <v>72</v>
      </c>
      <c r="B37" s="69">
        <f t="shared" si="6"/>
        <v>1.5</v>
      </c>
      <c r="C37" s="67">
        <f t="shared" si="5"/>
        <v>148.14869999999999</v>
      </c>
      <c r="N37" t="s">
        <v>72</v>
      </c>
      <c r="O37" s="68">
        <v>1.5</v>
      </c>
      <c r="P37" s="65">
        <v>141</v>
      </c>
    </row>
    <row r="38" spans="1:16" x14ac:dyDescent="0.35">
      <c r="B38" s="38"/>
      <c r="O38" s="38"/>
    </row>
    <row r="39" spans="1:16" x14ac:dyDescent="0.35">
      <c r="A39" s="49" t="s">
        <v>74</v>
      </c>
      <c r="B39" s="38"/>
      <c r="N39" s="49" t="s">
        <v>74</v>
      </c>
      <c r="O39" s="38"/>
    </row>
    <row r="40" spans="1:16" x14ac:dyDescent="0.35">
      <c r="A40" t="s">
        <v>22</v>
      </c>
      <c r="B40" s="69">
        <f>VLOOKUP(A40,$N$40:$P$47,2,FALSE)</f>
        <v>4</v>
      </c>
      <c r="C40" s="67">
        <f t="shared" ref="C40:C47" si="7">VLOOKUP(A40,$N$40:$P$47,3,FALSE)*(1+$G$5)</f>
        <v>148.14869999999999</v>
      </c>
      <c r="N40" t="s">
        <v>22</v>
      </c>
      <c r="O40" s="68">
        <v>4</v>
      </c>
      <c r="P40" s="65">
        <v>141</v>
      </c>
    </row>
    <row r="41" spans="1:16" x14ac:dyDescent="0.35">
      <c r="A41" t="s">
        <v>66</v>
      </c>
      <c r="B41" s="69">
        <f t="shared" ref="B41:B47" si="8">VLOOKUP(A41,$N$40:$P$47,2,FALSE)</f>
        <v>3</v>
      </c>
      <c r="C41" s="67">
        <f t="shared" si="7"/>
        <v>148.14869999999999</v>
      </c>
      <c r="N41" t="s">
        <v>66</v>
      </c>
      <c r="O41" s="68">
        <v>3</v>
      </c>
      <c r="P41" s="65">
        <v>141</v>
      </c>
    </row>
    <row r="42" spans="1:16" x14ac:dyDescent="0.35">
      <c r="A42" t="s">
        <v>67</v>
      </c>
      <c r="B42" s="69">
        <f t="shared" si="8"/>
        <v>3</v>
      </c>
      <c r="C42" s="67">
        <f t="shared" si="7"/>
        <v>148.14869999999999</v>
      </c>
      <c r="N42" t="s">
        <v>67</v>
      </c>
      <c r="O42" s="68">
        <v>3</v>
      </c>
      <c r="P42" s="65">
        <v>141</v>
      </c>
    </row>
    <row r="43" spans="1:16" x14ac:dyDescent="0.35">
      <c r="A43" t="s">
        <v>68</v>
      </c>
      <c r="B43" s="69">
        <f t="shared" si="8"/>
        <v>2</v>
      </c>
      <c r="C43" s="67">
        <f t="shared" si="7"/>
        <v>148.14869999999999</v>
      </c>
      <c r="N43" t="s">
        <v>68</v>
      </c>
      <c r="O43" s="68">
        <v>2</v>
      </c>
      <c r="P43" s="65">
        <v>141</v>
      </c>
    </row>
    <row r="44" spans="1:16" x14ac:dyDescent="0.35">
      <c r="A44" t="s">
        <v>69</v>
      </c>
      <c r="B44" s="69">
        <f t="shared" si="8"/>
        <v>2</v>
      </c>
      <c r="C44" s="67">
        <f t="shared" si="7"/>
        <v>148.14869999999999</v>
      </c>
      <c r="N44" t="s">
        <v>69</v>
      </c>
      <c r="O44" s="68">
        <v>2</v>
      </c>
      <c r="P44" s="65">
        <v>141</v>
      </c>
    </row>
    <row r="45" spans="1:16" x14ac:dyDescent="0.35">
      <c r="A45" t="s">
        <v>70</v>
      </c>
      <c r="B45" s="69">
        <f t="shared" si="8"/>
        <v>1.5</v>
      </c>
      <c r="C45" s="67">
        <f t="shared" si="7"/>
        <v>148.14869999999999</v>
      </c>
      <c r="N45" t="s">
        <v>70</v>
      </c>
      <c r="O45" s="68">
        <v>1.5</v>
      </c>
      <c r="P45" s="65">
        <v>141</v>
      </c>
    </row>
    <row r="46" spans="1:16" x14ac:dyDescent="0.35">
      <c r="A46" t="s">
        <v>71</v>
      </c>
      <c r="B46" s="69">
        <f t="shared" si="8"/>
        <v>1</v>
      </c>
      <c r="C46" s="67">
        <f t="shared" si="7"/>
        <v>148.14869999999999</v>
      </c>
      <c r="N46" t="s">
        <v>71</v>
      </c>
      <c r="O46" s="68">
        <v>1</v>
      </c>
      <c r="P46" s="65">
        <v>141</v>
      </c>
    </row>
    <row r="47" spans="1:16" x14ac:dyDescent="0.35">
      <c r="A47" t="s">
        <v>72</v>
      </c>
      <c r="B47" s="69">
        <f t="shared" si="8"/>
        <v>1</v>
      </c>
      <c r="C47" s="67">
        <f t="shared" si="7"/>
        <v>148.14869999999999</v>
      </c>
      <c r="N47" t="s">
        <v>72</v>
      </c>
      <c r="O47" s="68">
        <v>1</v>
      </c>
      <c r="P47" s="65">
        <v>141</v>
      </c>
    </row>
    <row r="53" spans="1:3" x14ac:dyDescent="0.35">
      <c r="A53" t="s">
        <v>178</v>
      </c>
      <c r="B53" s="78">
        <f>150*(15279+378)</f>
        <v>2348550</v>
      </c>
      <c r="C53" s="190" t="s">
        <v>181</v>
      </c>
    </row>
    <row r="54" spans="1:3" x14ac:dyDescent="0.35">
      <c r="A54" t="s">
        <v>179</v>
      </c>
      <c r="B54" s="78">
        <v>0</v>
      </c>
      <c r="C54" s="191" t="s">
        <v>183</v>
      </c>
    </row>
    <row r="55" spans="1:3" x14ac:dyDescent="0.35">
      <c r="A55" t="s">
        <v>180</v>
      </c>
      <c r="B55" s="78">
        <v>0</v>
      </c>
      <c r="C55" s="191" t="s">
        <v>183</v>
      </c>
    </row>
    <row r="56" spans="1:3" x14ac:dyDescent="0.35">
      <c r="A56" t="s">
        <v>182</v>
      </c>
      <c r="B56" s="78">
        <v>390106</v>
      </c>
      <c r="C56" s="191" t="s">
        <v>183</v>
      </c>
    </row>
    <row r="57" spans="1:3" x14ac:dyDescent="0.35">
      <c r="A57" t="s">
        <v>184</v>
      </c>
      <c r="B57" s="78">
        <f>30.67*15279</f>
        <v>468606.93000000005</v>
      </c>
      <c r="C57" s="190" t="s">
        <v>217</v>
      </c>
    </row>
    <row r="58" spans="1:3" x14ac:dyDescent="0.35">
      <c r="A58" t="s">
        <v>237</v>
      </c>
      <c r="B58" s="78">
        <v>836790</v>
      </c>
    </row>
    <row r="59" spans="1:3" x14ac:dyDescent="0.35">
      <c r="A59" t="s">
        <v>238</v>
      </c>
      <c r="B59" s="78">
        <v>1621612</v>
      </c>
    </row>
    <row r="60" spans="1:3" hidden="1" x14ac:dyDescent="0.35">
      <c r="B60" s="193" t="s">
        <v>48</v>
      </c>
      <c r="C60" s="194" t="s">
        <v>49</v>
      </c>
    </row>
    <row r="61" spans="1:3" hidden="1" x14ac:dyDescent="0.35">
      <c r="A61" t="s">
        <v>186</v>
      </c>
    </row>
    <row r="62" spans="1:3" hidden="1" x14ac:dyDescent="0.35">
      <c r="A62" t="s">
        <v>187</v>
      </c>
      <c r="B62" s="1"/>
      <c r="C62" s="1"/>
    </row>
    <row r="63" spans="1:3" hidden="1" x14ac:dyDescent="0.35">
      <c r="A63" t="s">
        <v>211</v>
      </c>
      <c r="B63" s="229"/>
      <c r="C63" s="229"/>
    </row>
    <row r="64" spans="1:3" x14ac:dyDescent="0.35">
      <c r="B64" s="229"/>
      <c r="C64" s="229"/>
    </row>
  </sheetData>
  <mergeCells count="8">
    <mergeCell ref="O3:P3"/>
    <mergeCell ref="O2:P2"/>
    <mergeCell ref="O12:P12"/>
    <mergeCell ref="O18:P18"/>
    <mergeCell ref="B12:C12"/>
    <mergeCell ref="B18:C18"/>
    <mergeCell ref="B2:C2"/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topLeftCell="A22" zoomScale="120" zoomScaleNormal="120" workbookViewId="0">
      <selection activeCell="G30" sqref="G30"/>
    </sheetView>
  </sheetViews>
  <sheetFormatPr defaultRowHeight="14.5" x14ac:dyDescent="0.35"/>
  <cols>
    <col min="1" max="1" width="1.81640625" customWidth="1"/>
    <col min="2" max="2" width="2.81640625" customWidth="1"/>
    <col min="5" max="5" width="34.453125" bestFit="1" customWidth="1"/>
    <col min="6" max="6" width="17" bestFit="1" customWidth="1"/>
    <col min="7" max="7" width="15.81640625" bestFit="1" customWidth="1"/>
    <col min="8" max="8" width="1.453125" customWidth="1"/>
    <col min="9" max="9" width="15.81640625" bestFit="1" customWidth="1"/>
    <col min="10" max="10" width="1.453125" customWidth="1"/>
    <col min="11" max="11" width="17" customWidth="1"/>
  </cols>
  <sheetData>
    <row r="1" spans="1:11" ht="21" x14ac:dyDescent="0.5">
      <c r="B1" s="82" t="s">
        <v>168</v>
      </c>
      <c r="C1" s="82"/>
      <c r="D1" s="82"/>
      <c r="E1" s="82"/>
      <c r="F1" s="82"/>
      <c r="G1" s="82"/>
      <c r="H1" s="82"/>
      <c r="I1" s="82"/>
      <c r="J1" s="82"/>
      <c r="K1" s="82"/>
    </row>
    <row r="2" spans="1:11" ht="18.5" x14ac:dyDescent="0.45">
      <c r="B2" s="83"/>
      <c r="C2" s="84"/>
      <c r="D2" s="84"/>
      <c r="E2" s="84"/>
      <c r="F2" s="84"/>
      <c r="G2" s="84"/>
      <c r="H2" s="84"/>
      <c r="I2" s="84"/>
      <c r="J2" s="84"/>
      <c r="K2" s="84"/>
    </row>
    <row r="3" spans="1:11" ht="15.5" x14ac:dyDescent="0.35">
      <c r="B3" s="85"/>
      <c r="C3" s="86"/>
      <c r="D3" s="86"/>
      <c r="E3" s="86"/>
      <c r="F3" s="86"/>
      <c r="G3" s="88" t="s">
        <v>48</v>
      </c>
      <c r="H3" s="89"/>
      <c r="I3" s="88" t="s">
        <v>49</v>
      </c>
      <c r="J3" s="89"/>
      <c r="K3" s="88" t="s">
        <v>139</v>
      </c>
    </row>
    <row r="4" spans="1:11" ht="15.5" x14ac:dyDescent="0.35">
      <c r="B4" s="90" t="s">
        <v>140</v>
      </c>
      <c r="C4" s="86"/>
      <c r="D4" s="86"/>
      <c r="E4" s="86"/>
      <c r="F4" s="86"/>
      <c r="G4" s="88"/>
      <c r="H4" s="89"/>
      <c r="I4" s="88"/>
      <c r="J4" s="89"/>
      <c r="K4" s="88"/>
    </row>
    <row r="5" spans="1:11" ht="15.5" x14ac:dyDescent="0.35">
      <c r="B5" s="85"/>
      <c r="C5" s="91" t="s">
        <v>169</v>
      </c>
      <c r="D5" s="92"/>
      <c r="E5" s="92"/>
      <c r="F5" s="92"/>
      <c r="G5" s="93">
        <f>'CC 21-22'!F8</f>
        <v>4959045.5278000003</v>
      </c>
      <c r="H5" s="94"/>
      <c r="I5" s="93">
        <f>'LPC 21-22'!F8</f>
        <v>4250608.9513999997</v>
      </c>
      <c r="J5" s="94"/>
      <c r="K5" s="93">
        <f>SUM(G5:J5)</f>
        <v>9209654.4791999999</v>
      </c>
    </row>
    <row r="6" spans="1:11" ht="15.5" x14ac:dyDescent="0.35">
      <c r="B6" s="85"/>
      <c r="C6" s="91" t="s">
        <v>170</v>
      </c>
      <c r="D6" s="92"/>
      <c r="E6" s="92"/>
      <c r="F6" s="92"/>
      <c r="G6" s="93">
        <v>0</v>
      </c>
      <c r="H6" s="94"/>
      <c r="I6" s="93">
        <v>0</v>
      </c>
      <c r="J6" s="94"/>
      <c r="K6" s="93">
        <f>SUM(G6:J6)</f>
        <v>0</v>
      </c>
    </row>
    <row r="7" spans="1:11" ht="15.5" x14ac:dyDescent="0.35">
      <c r="B7" s="85"/>
      <c r="C7" s="95" t="s">
        <v>172</v>
      </c>
      <c r="D7" s="95"/>
      <c r="E7" s="95"/>
      <c r="F7" s="96" t="s">
        <v>141</v>
      </c>
      <c r="G7" s="97">
        <f>SUBTOTAL(9,(G4:G6))</f>
        <v>4959045.5278000003</v>
      </c>
      <c r="H7" s="98"/>
      <c r="I7" s="97">
        <f>SUBTOTAL(9,(I4:I6))</f>
        <v>4250608.9513999997</v>
      </c>
      <c r="J7" s="98"/>
      <c r="K7" s="97">
        <f>SUBTOTAL(9,(K4:K6))</f>
        <v>9209654.4791999999</v>
      </c>
    </row>
    <row r="8" spans="1:11" x14ac:dyDescent="0.35">
      <c r="B8" s="99"/>
      <c r="C8" s="48"/>
      <c r="D8" s="48"/>
      <c r="E8" s="48"/>
      <c r="F8" s="48"/>
      <c r="G8" s="100"/>
      <c r="H8" s="101"/>
      <c r="I8" s="100"/>
      <c r="J8" s="101"/>
      <c r="K8" s="103"/>
    </row>
    <row r="9" spans="1:11" x14ac:dyDescent="0.35">
      <c r="B9" s="85"/>
      <c r="C9" s="86" t="s">
        <v>171</v>
      </c>
      <c r="D9" s="86"/>
      <c r="E9" s="86"/>
      <c r="F9" s="86"/>
      <c r="G9" s="103">
        <f>SUM('CC 21-22'!F9:F13)</f>
        <v>41254395</v>
      </c>
      <c r="H9" s="104"/>
      <c r="I9" s="103">
        <f>SUM('LPC 21-22'!F9:F13)</f>
        <v>30020051</v>
      </c>
      <c r="J9" s="104"/>
      <c r="K9" s="93">
        <f>SUM(G9:J9)</f>
        <v>71274446</v>
      </c>
    </row>
    <row r="10" spans="1:11" ht="15.5" x14ac:dyDescent="0.35">
      <c r="B10" s="85"/>
      <c r="C10" s="95" t="s">
        <v>174</v>
      </c>
      <c r="D10" s="95"/>
      <c r="E10" s="95"/>
      <c r="F10" s="96" t="s">
        <v>142</v>
      </c>
      <c r="G10" s="97">
        <f>SUBTOTAL(9,G9:G9)</f>
        <v>41254395</v>
      </c>
      <c r="H10" s="98"/>
      <c r="I10" s="97">
        <f>SUBTOTAL(9,I9:I9)</f>
        <v>30020051</v>
      </c>
      <c r="J10" s="98"/>
      <c r="K10" s="97">
        <f>SUBTOTAL(9,K9:K9)</f>
        <v>71274446</v>
      </c>
    </row>
    <row r="11" spans="1:11" ht="15.5" x14ac:dyDescent="0.35">
      <c r="A11" s="108"/>
      <c r="B11" s="109"/>
      <c r="C11" s="110"/>
      <c r="D11" s="110"/>
      <c r="E11" s="110"/>
      <c r="F11" s="110"/>
      <c r="G11" s="111"/>
      <c r="H11" s="112"/>
      <c r="I11" s="111"/>
      <c r="J11" s="112"/>
      <c r="K11" s="102"/>
    </row>
    <row r="12" spans="1:11" x14ac:dyDescent="0.35">
      <c r="B12" s="85"/>
      <c r="C12" s="86" t="s">
        <v>173</v>
      </c>
      <c r="D12" s="86"/>
      <c r="E12" s="86"/>
      <c r="F12" s="86"/>
      <c r="G12" s="103">
        <f>'CC 21-22'!F23</f>
        <v>11371682</v>
      </c>
      <c r="H12" s="104"/>
      <c r="I12" s="103">
        <f>'LPC 21-22'!F23</f>
        <v>5567839</v>
      </c>
      <c r="J12" s="104"/>
      <c r="K12" s="93">
        <f>SUM(G12:J12)</f>
        <v>16939521</v>
      </c>
    </row>
    <row r="13" spans="1:11" ht="15.5" x14ac:dyDescent="0.35">
      <c r="B13" s="85"/>
      <c r="C13" s="95" t="s">
        <v>173</v>
      </c>
      <c r="D13" s="95"/>
      <c r="E13" s="95"/>
      <c r="F13" s="96" t="s">
        <v>144</v>
      </c>
      <c r="G13" s="97">
        <f>SUBTOTAL(9,G12:G12)</f>
        <v>11371682</v>
      </c>
      <c r="H13" s="98"/>
      <c r="I13" s="97">
        <f>SUBTOTAL(9,I12:I12)</f>
        <v>5567839</v>
      </c>
      <c r="J13" s="98"/>
      <c r="K13" s="97">
        <f>SUBTOTAL(9,K12:K12)</f>
        <v>16939521</v>
      </c>
    </row>
    <row r="14" spans="1:11" x14ac:dyDescent="0.35">
      <c r="B14" s="113"/>
      <c r="C14" s="114"/>
      <c r="D14" s="114"/>
      <c r="E14" s="114"/>
      <c r="F14" s="115"/>
      <c r="G14" s="105"/>
      <c r="H14" s="106"/>
      <c r="I14" s="105"/>
      <c r="J14" s="106"/>
      <c r="K14" s="105"/>
    </row>
    <row r="15" spans="1:11" x14ac:dyDescent="0.35">
      <c r="B15" s="85"/>
      <c r="C15" s="86" t="s">
        <v>175</v>
      </c>
      <c r="D15" s="86"/>
      <c r="E15" s="86"/>
      <c r="F15" s="86"/>
      <c r="G15" s="103">
        <f>'CC 21-22'!F60</f>
        <v>7497581.8078628797</v>
      </c>
      <c r="H15" s="104"/>
      <c r="I15" s="103">
        <f>'LPC 21-22'!F60</f>
        <v>4037159.4350030888</v>
      </c>
      <c r="J15" s="104"/>
      <c r="K15" s="93">
        <f>SUM(G15:J15)</f>
        <v>11534741.242865968</v>
      </c>
    </row>
    <row r="16" spans="1:11" ht="15.5" x14ac:dyDescent="0.35">
      <c r="B16" s="85"/>
      <c r="C16" s="95" t="s">
        <v>175</v>
      </c>
      <c r="D16" s="95"/>
      <c r="E16" s="95"/>
      <c r="F16" s="96" t="s">
        <v>150</v>
      </c>
      <c r="G16" s="97">
        <f>SUBTOTAL(9,G15:G15)</f>
        <v>7497581.8078628797</v>
      </c>
      <c r="H16" s="98"/>
      <c r="I16" s="97">
        <f>SUBTOTAL(9,I15:I15)</f>
        <v>4037159.4350030888</v>
      </c>
      <c r="J16" s="98"/>
      <c r="K16" s="97">
        <f>SUBTOTAL(9,K15:K15)</f>
        <v>11534741.242865968</v>
      </c>
    </row>
    <row r="17" spans="1:11" x14ac:dyDescent="0.35">
      <c r="B17" s="113"/>
      <c r="C17" s="114"/>
      <c r="D17" s="114"/>
      <c r="E17" s="114"/>
      <c r="F17" s="116"/>
      <c r="G17" s="105"/>
      <c r="H17" s="106"/>
      <c r="I17" s="105"/>
      <c r="J17" s="106"/>
      <c r="K17" s="107"/>
    </row>
    <row r="18" spans="1:11" x14ac:dyDescent="0.35">
      <c r="B18" s="113"/>
      <c r="C18" s="114" t="s">
        <v>212</v>
      </c>
      <c r="D18" s="114"/>
      <c r="E18" s="114"/>
      <c r="F18" s="234">
        <v>0.01</v>
      </c>
      <c r="G18" s="105">
        <f>(G16+G13+G10+G7)*F18</f>
        <v>650827.04335662886</v>
      </c>
      <c r="H18" s="105">
        <f t="shared" ref="H18" si="0">H16+H13+H10+H7</f>
        <v>0</v>
      </c>
      <c r="I18" s="105">
        <f>(I16+I13+I10+I7)*F18</f>
        <v>438756.58386403084</v>
      </c>
      <c r="J18" s="106"/>
      <c r="K18" s="107">
        <f>SUM(G18:J18)</f>
        <v>1089583.6272206597</v>
      </c>
    </row>
    <row r="19" spans="1:11" x14ac:dyDescent="0.35">
      <c r="B19" s="113"/>
      <c r="C19" s="114"/>
      <c r="D19" s="114"/>
      <c r="E19" s="114"/>
      <c r="F19" s="116"/>
      <c r="G19" s="105"/>
      <c r="H19" s="106"/>
      <c r="I19" s="105"/>
      <c r="J19" s="106"/>
      <c r="K19" s="107"/>
    </row>
    <row r="20" spans="1:11" ht="15.5" x14ac:dyDescent="0.35">
      <c r="B20" s="117" t="s">
        <v>176</v>
      </c>
      <c r="C20" s="118"/>
      <c r="D20" s="118"/>
      <c r="E20" s="118"/>
      <c r="F20" s="119" t="s">
        <v>153</v>
      </c>
      <c r="G20" s="120">
        <f>SUBTOTAL(9,G4:G17)-G18</f>
        <v>64431877.292306252</v>
      </c>
      <c r="H20" s="121"/>
      <c r="I20" s="120">
        <f>SUBTOTAL(9,I4:I17)-I18</f>
        <v>43436901.802539051</v>
      </c>
      <c r="J20" s="121"/>
      <c r="K20" s="120">
        <f>SUBTOTAL(9,K4:K17)-K18</f>
        <v>107868779.09484531</v>
      </c>
    </row>
    <row r="21" spans="1:11" x14ac:dyDescent="0.35">
      <c r="B21" s="122"/>
      <c r="C21" s="123"/>
      <c r="D21" s="123"/>
      <c r="E21" s="123" t="s">
        <v>177</v>
      </c>
      <c r="F21" s="123"/>
      <c r="G21" s="124">
        <f>G20/'FTES Allocation'!E20</f>
        <v>6758.1159316452959</v>
      </c>
      <c r="H21" s="125"/>
      <c r="I21" s="124">
        <f>I20/'FTES Allocation'!E31</f>
        <v>6245.4208199193463</v>
      </c>
      <c r="J21" s="125"/>
      <c r="K21" s="126">
        <f>K20/'FTES Allocation'!E9</f>
        <v>6541.8630053275101</v>
      </c>
    </row>
    <row r="22" spans="1:11" x14ac:dyDescent="0.35">
      <c r="A22" s="127"/>
      <c r="B22" s="122"/>
      <c r="C22" s="123"/>
      <c r="D22" s="123"/>
      <c r="E22" s="123"/>
      <c r="F22" s="123"/>
      <c r="G22" s="124"/>
      <c r="H22" s="125"/>
      <c r="I22" s="124"/>
      <c r="J22" s="125"/>
      <c r="K22" s="126"/>
    </row>
    <row r="23" spans="1:11" ht="15.5" x14ac:dyDescent="0.35">
      <c r="A23" s="127"/>
      <c r="B23" s="90" t="s">
        <v>145</v>
      </c>
      <c r="C23" s="128"/>
      <c r="D23" s="128"/>
      <c r="E23" s="128"/>
      <c r="F23" s="128"/>
      <c r="G23" s="129"/>
      <c r="H23" s="130"/>
      <c r="I23" s="129"/>
      <c r="J23" s="130"/>
      <c r="K23" s="131"/>
    </row>
    <row r="24" spans="1:11" x14ac:dyDescent="0.35">
      <c r="B24" s="85"/>
      <c r="C24" s="132" t="s">
        <v>146</v>
      </c>
      <c r="D24" s="132"/>
      <c r="E24" s="132"/>
      <c r="F24" s="132"/>
      <c r="G24" s="133" t="s">
        <v>147</v>
      </c>
      <c r="H24" s="134"/>
      <c r="I24" s="133" t="s">
        <v>147</v>
      </c>
      <c r="J24" s="134"/>
      <c r="K24" s="135"/>
    </row>
    <row r="25" spans="1:11" x14ac:dyDescent="0.35">
      <c r="B25" s="85"/>
      <c r="C25" s="128" t="s">
        <v>148</v>
      </c>
      <c r="D25" s="128"/>
      <c r="E25" s="128"/>
      <c r="F25" s="128"/>
      <c r="G25" s="192">
        <f>('FTES Allocation'!E20/'FTES Allocation'!E9)*'Variable Table'!B53</f>
        <v>1357940.1843653345</v>
      </c>
      <c r="H25" s="136"/>
      <c r="I25" s="192">
        <f>('FTES Allocation'!E31/'FTES Allocation'!E9)*'Variable Table'!B53</f>
        <v>990609.81563466555</v>
      </c>
      <c r="J25" s="136"/>
      <c r="K25" s="93">
        <f>SUM(G25:J25)</f>
        <v>2348550</v>
      </c>
    </row>
    <row r="26" spans="1:11" x14ac:dyDescent="0.35">
      <c r="B26" s="85"/>
      <c r="C26" s="96" t="s">
        <v>185</v>
      </c>
      <c r="D26" s="137"/>
      <c r="E26" s="96"/>
      <c r="F26" s="137"/>
      <c r="G26" s="138">
        <f>('FTES Allocation'!E20/'FTES Allocation'!E9)*'Variable Table'!B57</f>
        <v>270950.23777184793</v>
      </c>
      <c r="H26" s="139"/>
      <c r="I26" s="138">
        <f>('FTES Allocation'!E31/'FTES Allocation'!E9)*'Variable Table'!B57</f>
        <v>197656.69222815213</v>
      </c>
      <c r="J26" s="136"/>
      <c r="K26" s="93">
        <f>SUM(G26:J26)</f>
        <v>468606.93000000005</v>
      </c>
    </row>
    <row r="27" spans="1:11" x14ac:dyDescent="0.35">
      <c r="B27" s="85"/>
      <c r="C27" s="114" t="s">
        <v>179</v>
      </c>
      <c r="D27" s="137"/>
      <c r="E27" s="114"/>
      <c r="F27" s="137"/>
      <c r="G27" s="105">
        <f>('FTES Allocation'!E20/'FTES Allocation'!E9)*'Variable Table'!B54</f>
        <v>0</v>
      </c>
      <c r="H27" s="106"/>
      <c r="I27" s="105">
        <f>('FTES Allocation'!E31/'FTES Allocation'!E9)*'Variable Table'!B54</f>
        <v>0</v>
      </c>
      <c r="J27" s="106"/>
      <c r="K27" s="107">
        <f>SUM(G27:J27)</f>
        <v>0</v>
      </c>
    </row>
    <row r="28" spans="1:11" x14ac:dyDescent="0.35">
      <c r="B28" s="85"/>
      <c r="C28" s="86" t="s">
        <v>180</v>
      </c>
      <c r="D28" s="128"/>
      <c r="E28" s="86"/>
      <c r="F28" s="128"/>
      <c r="G28" s="138">
        <f>('FTES Allocation'!E20/'FTES Allocation'!E9)*'Variable Table'!B55</f>
        <v>0</v>
      </c>
      <c r="H28" s="136"/>
      <c r="I28" s="138">
        <f>('FTES Allocation'!E31/'FTES Allocation'!E9)*'Variable Table'!B55</f>
        <v>0</v>
      </c>
      <c r="J28" s="136"/>
      <c r="K28" s="93">
        <f>SUM(G28:J28)</f>
        <v>0</v>
      </c>
    </row>
    <row r="29" spans="1:11" x14ac:dyDescent="0.35">
      <c r="B29" s="85"/>
      <c r="C29" s="86" t="s">
        <v>182</v>
      </c>
      <c r="D29" s="86"/>
      <c r="E29" s="86"/>
      <c r="F29" s="86"/>
      <c r="G29" s="138">
        <f>('FTES Allocation'!E20/'FTES Allocation'!E9)*'Variable Table'!B56</f>
        <v>225560.71344532719</v>
      </c>
      <c r="H29" s="140"/>
      <c r="I29" s="138">
        <f>('FTES Allocation'!E31/'FTES Allocation'!E9)*'Variable Table'!B56</f>
        <v>164545.28655467281</v>
      </c>
      <c r="J29" s="140"/>
      <c r="K29" s="93">
        <f>SUM(G29:J29)</f>
        <v>390106</v>
      </c>
    </row>
    <row r="30" spans="1:11" x14ac:dyDescent="0.35">
      <c r="B30" s="85"/>
      <c r="C30" s="86" t="s">
        <v>237</v>
      </c>
      <c r="D30" s="86"/>
      <c r="E30" s="86"/>
      <c r="F30" s="86"/>
      <c r="G30" s="138">
        <f>('FTES Allocation'!E20/'FTES Allocation'!E9)*'Variable Table'!B58</f>
        <v>483835.03305233794</v>
      </c>
      <c r="H30" s="140"/>
      <c r="I30" s="138">
        <f>('FTES Allocation'!E31/'FTES Allocation'!E9)*'Variable Table'!B58</f>
        <v>352954.96694766206</v>
      </c>
      <c r="J30" s="140"/>
      <c r="K30" s="93">
        <f>SUM(G30:J30)</f>
        <v>836790</v>
      </c>
    </row>
    <row r="31" spans="1:11" x14ac:dyDescent="0.35">
      <c r="B31" s="85"/>
      <c r="C31" s="86" t="s">
        <v>238</v>
      </c>
      <c r="D31" s="86"/>
      <c r="E31" s="86"/>
      <c r="F31" s="86"/>
      <c r="G31" s="138">
        <f>('FTES Allocation'!E20/'FTES Allocation'!E9)*'Variable Table'!B59</f>
        <v>937621.9787737279</v>
      </c>
      <c r="H31" s="140"/>
      <c r="I31" s="138">
        <f>('FTES Allocation'!E31/'FTES Allocation'!E9)*'Variable Table'!B59</f>
        <v>683990.0212262721</v>
      </c>
      <c r="J31" s="140"/>
      <c r="K31" s="93">
        <f>SUM(G31:J31)</f>
        <v>1621612</v>
      </c>
    </row>
    <row r="32" spans="1:11" ht="15.5" x14ac:dyDescent="0.35">
      <c r="B32" s="85"/>
      <c r="C32" s="95" t="s">
        <v>149</v>
      </c>
      <c r="D32" s="86"/>
      <c r="E32" s="95"/>
      <c r="F32" s="96" t="s">
        <v>155</v>
      </c>
      <c r="G32" s="141">
        <f>SUBTOTAL(9,G24:G31)</f>
        <v>3275908.1474085758</v>
      </c>
      <c r="H32" s="142"/>
      <c r="I32" s="141">
        <f>SUBTOTAL(9,I24:I31)</f>
        <v>2389756.7825914244</v>
      </c>
      <c r="J32" s="142"/>
      <c r="K32" s="141">
        <f>SUBTOTAL(9,K24:K31)</f>
        <v>5665664.9299999997</v>
      </c>
    </row>
    <row r="33" spans="1:12" x14ac:dyDescent="0.35">
      <c r="B33" s="85"/>
      <c r="C33" s="86"/>
      <c r="D33" s="86"/>
      <c r="E33" s="86"/>
      <c r="F33" s="86"/>
      <c r="G33" s="143"/>
      <c r="H33" s="140"/>
      <c r="I33" s="143"/>
      <c r="J33" s="140"/>
      <c r="K33" s="143"/>
    </row>
    <row r="34" spans="1:12" x14ac:dyDescent="0.35">
      <c r="B34" s="85"/>
      <c r="C34" s="86" t="s">
        <v>151</v>
      </c>
      <c r="D34" s="86"/>
      <c r="E34" s="86"/>
      <c r="F34" s="86"/>
      <c r="G34" s="143" t="s">
        <v>147</v>
      </c>
      <c r="H34" s="140"/>
      <c r="I34" s="143" t="s">
        <v>147</v>
      </c>
      <c r="J34" s="140"/>
      <c r="K34" s="143"/>
    </row>
    <row r="35" spans="1:12" x14ac:dyDescent="0.35">
      <c r="B35" s="85"/>
      <c r="C35" s="128" t="s">
        <v>188</v>
      </c>
      <c r="D35" s="86"/>
      <c r="E35" s="128"/>
      <c r="F35" s="128"/>
      <c r="G35" s="138">
        <v>0</v>
      </c>
      <c r="H35" s="136"/>
      <c r="I35" s="138">
        <v>0</v>
      </c>
      <c r="J35" s="136"/>
      <c r="K35" s="93">
        <f>SUM(G35:J35)</f>
        <v>0</v>
      </c>
    </row>
    <row r="36" spans="1:12" x14ac:dyDescent="0.35">
      <c r="B36" s="85"/>
      <c r="C36" s="128" t="s">
        <v>143</v>
      </c>
      <c r="D36" s="86"/>
      <c r="E36" s="128"/>
      <c r="F36" s="128"/>
      <c r="G36" s="138"/>
      <c r="H36" s="136"/>
      <c r="I36" s="138"/>
      <c r="J36" s="136"/>
      <c r="K36" s="138"/>
    </row>
    <row r="37" spans="1:12" ht="15.5" x14ac:dyDescent="0.35">
      <c r="B37" s="85"/>
      <c r="C37" s="95" t="s">
        <v>152</v>
      </c>
      <c r="D37" s="86"/>
      <c r="E37" s="95"/>
      <c r="F37" s="96" t="s">
        <v>158</v>
      </c>
      <c r="G37" s="141">
        <f>SUBTOTAL(9,(G35:G36))</f>
        <v>0</v>
      </c>
      <c r="H37" s="142"/>
      <c r="I37" s="141">
        <f>SUBTOTAL(9,(I35:I36))</f>
        <v>0</v>
      </c>
      <c r="J37" s="142"/>
      <c r="K37" s="141">
        <f>SUBTOTAL(9,(K35:K36))</f>
        <v>0</v>
      </c>
    </row>
    <row r="38" spans="1:12" ht="15.5" x14ac:dyDescent="0.35">
      <c r="B38" s="131"/>
      <c r="C38" s="128"/>
      <c r="D38" s="128"/>
      <c r="E38" s="95"/>
      <c r="F38" s="128"/>
      <c r="G38" s="141"/>
      <c r="H38" s="144"/>
      <c r="I38" s="141"/>
      <c r="J38" s="142"/>
      <c r="K38" s="144"/>
    </row>
    <row r="39" spans="1:12" ht="15.5" x14ac:dyDescent="0.35">
      <c r="A39" s="145"/>
      <c r="B39" s="117" t="s">
        <v>154</v>
      </c>
      <c r="C39" s="118"/>
      <c r="D39" s="118"/>
      <c r="E39" s="118"/>
      <c r="F39" s="146" t="s">
        <v>162</v>
      </c>
      <c r="G39" s="120">
        <f>G20+G32+G37</f>
        <v>67707785.439714834</v>
      </c>
      <c r="H39" s="121"/>
      <c r="I39" s="120">
        <f>I20+I32+I37</f>
        <v>45826658.585130475</v>
      </c>
      <c r="J39" s="121"/>
      <c r="K39" s="120">
        <f>K20+K32+K37</f>
        <v>113534444.0248453</v>
      </c>
    </row>
    <row r="40" spans="1:12" ht="15.5" x14ac:dyDescent="0.35">
      <c r="B40" s="131"/>
      <c r="C40" s="128"/>
      <c r="D40" s="128"/>
      <c r="E40" s="95"/>
      <c r="F40" s="128"/>
      <c r="G40" s="235">
        <f>G39/$K$39</f>
        <v>0.59636338576597958</v>
      </c>
      <c r="H40" s="236"/>
      <c r="I40" s="235">
        <f>I39/$K$39</f>
        <v>0.40363661423402047</v>
      </c>
      <c r="J40" s="147"/>
      <c r="K40" s="148"/>
    </row>
    <row r="41" spans="1:12" ht="15.5" x14ac:dyDescent="0.35">
      <c r="A41" s="149"/>
      <c r="B41" s="90" t="s">
        <v>156</v>
      </c>
      <c r="C41" s="86"/>
      <c r="D41" s="86"/>
      <c r="E41" s="86"/>
      <c r="F41" s="150"/>
      <c r="G41" s="85"/>
      <c r="H41" s="87"/>
      <c r="I41" s="85"/>
      <c r="J41" s="87"/>
      <c r="K41" s="85"/>
    </row>
    <row r="42" spans="1:12" ht="15.5" x14ac:dyDescent="0.35">
      <c r="B42" s="131"/>
      <c r="C42" s="128"/>
      <c r="D42" s="128"/>
      <c r="E42" s="95"/>
      <c r="F42" s="128"/>
      <c r="G42" s="141"/>
      <c r="H42" s="142"/>
      <c r="I42" s="148"/>
      <c r="J42" s="147"/>
      <c r="K42" s="148"/>
    </row>
    <row r="43" spans="1:12" ht="15.5" x14ac:dyDescent="0.35">
      <c r="A43" s="149"/>
      <c r="B43" s="92" t="s">
        <v>157</v>
      </c>
      <c r="C43" s="92"/>
      <c r="D43" s="92"/>
      <c r="E43" s="86"/>
      <c r="F43" s="151"/>
      <c r="G43" s="138"/>
      <c r="H43" s="136"/>
      <c r="I43" s="138"/>
      <c r="J43" s="136"/>
      <c r="K43" s="143"/>
    </row>
    <row r="44" spans="1:12" ht="15.5" x14ac:dyDescent="0.35">
      <c r="B44" s="85"/>
      <c r="C44" s="196" t="s">
        <v>189</v>
      </c>
      <c r="D44" s="86"/>
      <c r="E44" s="86"/>
      <c r="F44" s="151"/>
      <c r="G44" s="133"/>
      <c r="H44" s="136"/>
      <c r="I44" s="133"/>
      <c r="J44" s="136"/>
      <c r="K44" s="162">
        <v>1012192</v>
      </c>
      <c r="L44" t="s">
        <v>218</v>
      </c>
    </row>
    <row r="45" spans="1:12" ht="15.5" x14ac:dyDescent="0.35">
      <c r="A45" s="80"/>
      <c r="B45" s="152"/>
      <c r="C45" s="153"/>
      <c r="D45" s="183" t="s">
        <v>190</v>
      </c>
      <c r="E45" s="153"/>
      <c r="F45" s="154" t="s">
        <v>165</v>
      </c>
      <c r="G45" s="155"/>
      <c r="H45" s="156"/>
      <c r="I45" s="155"/>
      <c r="J45" s="156"/>
      <c r="K45" s="195">
        <f>SUBTOTAL(9,K43:K44)</f>
        <v>1012192</v>
      </c>
    </row>
    <row r="46" spans="1:12" ht="15.5" x14ac:dyDescent="0.35">
      <c r="A46" s="157"/>
      <c r="B46" s="158"/>
      <c r="C46" s="150"/>
      <c r="D46" s="150"/>
      <c r="E46" s="150"/>
      <c r="F46" s="159"/>
      <c r="G46" s="160"/>
      <c r="H46" s="161"/>
      <c r="I46" s="160"/>
      <c r="J46" s="161"/>
      <c r="K46" s="160"/>
    </row>
    <row r="47" spans="1:12" ht="15.5" x14ac:dyDescent="0.35">
      <c r="A47" s="157"/>
      <c r="B47" s="92" t="s">
        <v>159</v>
      </c>
      <c r="C47" s="92"/>
      <c r="D47" s="86"/>
      <c r="E47" s="86"/>
      <c r="F47" s="151"/>
      <c r="G47" s="138"/>
      <c r="H47" s="136"/>
      <c r="I47" s="138"/>
      <c r="J47" s="136"/>
      <c r="K47" s="143"/>
    </row>
    <row r="48" spans="1:12" ht="15.5" x14ac:dyDescent="0.35">
      <c r="B48" s="85"/>
      <c r="C48" s="263" t="s">
        <v>160</v>
      </c>
      <c r="D48" s="263"/>
      <c r="E48" s="86"/>
      <c r="F48" s="151"/>
      <c r="G48" s="133"/>
      <c r="H48" s="136"/>
      <c r="I48" s="133"/>
      <c r="J48" s="136"/>
      <c r="K48" s="162">
        <v>150000</v>
      </c>
    </row>
    <row r="49" spans="1:11" ht="15.5" x14ac:dyDescent="0.35">
      <c r="B49" s="85"/>
      <c r="C49" s="86" t="s">
        <v>219</v>
      </c>
      <c r="D49" s="86"/>
      <c r="E49" s="86"/>
      <c r="F49" s="151"/>
      <c r="G49" s="133"/>
      <c r="H49" s="136"/>
      <c r="I49" s="133"/>
      <c r="J49" s="136"/>
      <c r="K49" s="163">
        <v>129850</v>
      </c>
    </row>
    <row r="50" spans="1:11" ht="15.5" x14ac:dyDescent="0.35">
      <c r="B50" s="85"/>
      <c r="C50" s="86" t="s">
        <v>220</v>
      </c>
      <c r="D50" s="86"/>
      <c r="E50" s="86"/>
      <c r="F50" s="151"/>
      <c r="G50" s="133"/>
      <c r="H50" s="136"/>
      <c r="I50" s="133"/>
      <c r="J50" s="136"/>
      <c r="K50" s="163">
        <f>88500+8280</f>
        <v>96780</v>
      </c>
    </row>
    <row r="51" spans="1:11" ht="15.5" x14ac:dyDescent="0.35">
      <c r="B51" s="85"/>
      <c r="C51" s="86" t="s">
        <v>221</v>
      </c>
      <c r="D51" s="86"/>
      <c r="E51" s="86"/>
      <c r="F51" s="151"/>
      <c r="G51" s="133"/>
      <c r="H51" s="136"/>
      <c r="I51" s="133"/>
      <c r="J51" s="136"/>
      <c r="K51" s="163">
        <f>2913000+42690</f>
        <v>2955690</v>
      </c>
    </row>
    <row r="52" spans="1:11" ht="15.5" x14ac:dyDescent="0.35">
      <c r="B52" s="85"/>
      <c r="C52" s="86" t="s">
        <v>192</v>
      </c>
      <c r="D52" s="86"/>
      <c r="E52" s="86"/>
      <c r="F52" s="151"/>
      <c r="G52" s="133"/>
      <c r="H52" s="136"/>
      <c r="I52" s="133"/>
      <c r="J52" s="136"/>
      <c r="K52" s="163">
        <v>7742506</v>
      </c>
    </row>
    <row r="53" spans="1:11" ht="15.5" x14ac:dyDescent="0.35">
      <c r="B53" s="85"/>
      <c r="C53" s="86" t="s">
        <v>191</v>
      </c>
      <c r="D53" s="86"/>
      <c r="E53" s="86"/>
      <c r="F53" s="151"/>
      <c r="G53" s="133"/>
      <c r="H53" s="136"/>
      <c r="I53" s="133"/>
      <c r="J53" s="136"/>
      <c r="K53" s="163">
        <v>646840</v>
      </c>
    </row>
    <row r="54" spans="1:11" ht="15.5" x14ac:dyDescent="0.35">
      <c r="B54" s="85"/>
      <c r="C54" s="86" t="s">
        <v>222</v>
      </c>
      <c r="D54" s="86"/>
      <c r="E54" s="86"/>
      <c r="F54" s="151"/>
      <c r="G54" s="133"/>
      <c r="H54" s="136"/>
      <c r="I54" s="133"/>
      <c r="J54" s="136"/>
      <c r="K54" s="163">
        <f>20408+2078+2777</f>
        <v>25263</v>
      </c>
    </row>
    <row r="55" spans="1:11" ht="15.5" x14ac:dyDescent="0.35">
      <c r="A55" s="80"/>
      <c r="B55" s="152"/>
      <c r="C55" s="153"/>
      <c r="D55" s="183" t="s">
        <v>161</v>
      </c>
      <c r="E55" s="153"/>
      <c r="F55" s="164" t="s">
        <v>193</v>
      </c>
      <c r="G55" s="165"/>
      <c r="H55" s="166"/>
      <c r="I55" s="165"/>
      <c r="J55" s="166"/>
      <c r="K55" s="197">
        <f>SUBTOTAL(9,K47:K54)</f>
        <v>11746929</v>
      </c>
    </row>
    <row r="56" spans="1:11" ht="15.5" x14ac:dyDescent="0.35">
      <c r="B56" s="85"/>
      <c r="C56" s="92"/>
      <c r="D56" s="150"/>
      <c r="E56" s="86"/>
      <c r="F56" s="151"/>
      <c r="G56" s="168"/>
      <c r="H56" s="136"/>
      <c r="I56" s="168"/>
      <c r="J56" s="136"/>
      <c r="K56" s="168"/>
    </row>
    <row r="57" spans="1:11" ht="15.5" x14ac:dyDescent="0.35">
      <c r="B57" s="49" t="s">
        <v>163</v>
      </c>
      <c r="C57" s="49"/>
      <c r="D57" s="150"/>
      <c r="E57" s="86"/>
      <c r="F57" s="151"/>
      <c r="G57" s="168"/>
      <c r="H57" s="136"/>
      <c r="I57" s="168"/>
      <c r="J57" s="136"/>
      <c r="K57" s="168"/>
    </row>
    <row r="58" spans="1:11" ht="15.5" x14ac:dyDescent="0.35">
      <c r="B58" s="85"/>
      <c r="C58" s="86" t="s">
        <v>224</v>
      </c>
      <c r="D58" s="86"/>
      <c r="E58" s="86"/>
      <c r="F58" s="151"/>
      <c r="G58" s="169"/>
      <c r="H58" s="136"/>
      <c r="I58" s="170"/>
      <c r="J58" s="136"/>
      <c r="K58" s="162">
        <v>777070</v>
      </c>
    </row>
    <row r="59" spans="1:11" ht="15.5" x14ac:dyDescent="0.35">
      <c r="B59" s="85"/>
      <c r="C59" s="86" t="s">
        <v>223</v>
      </c>
      <c r="D59" s="86"/>
      <c r="E59" s="86"/>
      <c r="F59" s="151"/>
      <c r="G59" s="169"/>
      <c r="H59" s="136"/>
      <c r="I59" s="170"/>
      <c r="J59" s="136"/>
      <c r="K59" s="162">
        <v>500000</v>
      </c>
    </row>
    <row r="60" spans="1:11" ht="15.5" x14ac:dyDescent="0.35">
      <c r="B60" s="85"/>
      <c r="C60" s="86" t="s">
        <v>226</v>
      </c>
      <c r="D60" s="86"/>
      <c r="E60" s="86"/>
      <c r="F60" s="151"/>
      <c r="G60" s="169"/>
      <c r="H60" s="136"/>
      <c r="I60" s="170"/>
      <c r="J60" s="136"/>
      <c r="K60" s="162">
        <v>14428</v>
      </c>
    </row>
    <row r="61" spans="1:11" ht="15.5" x14ac:dyDescent="0.35">
      <c r="B61" s="85"/>
      <c r="C61" s="86" t="s">
        <v>225</v>
      </c>
      <c r="D61" s="86"/>
      <c r="E61" s="86"/>
      <c r="F61" s="151"/>
      <c r="G61" s="133"/>
      <c r="H61" s="136"/>
      <c r="I61" s="133"/>
      <c r="J61" s="136"/>
      <c r="K61" s="162">
        <v>575000</v>
      </c>
    </row>
    <row r="62" spans="1:11" ht="15.5" x14ac:dyDescent="0.35">
      <c r="A62" s="80"/>
      <c r="B62" s="152"/>
      <c r="C62" s="153"/>
      <c r="D62" s="183" t="s">
        <v>164</v>
      </c>
      <c r="E62" s="153"/>
      <c r="F62" s="164" t="s">
        <v>167</v>
      </c>
      <c r="G62" s="167"/>
      <c r="H62" s="166"/>
      <c r="I62" s="167"/>
      <c r="J62" s="166"/>
      <c r="K62" s="185">
        <f>SUBTOTAL(9,K57:K61)</f>
        <v>1866498</v>
      </c>
    </row>
    <row r="63" spans="1:11" ht="15.5" x14ac:dyDescent="0.35">
      <c r="B63" s="85"/>
      <c r="C63" s="92"/>
      <c r="D63" s="150"/>
      <c r="E63" s="86"/>
      <c r="F63" s="151"/>
      <c r="G63" s="172"/>
      <c r="H63" s="173"/>
      <c r="I63" s="174"/>
      <c r="J63" s="173"/>
      <c r="K63" s="168"/>
    </row>
    <row r="64" spans="1:11" ht="15.5" x14ac:dyDescent="0.35">
      <c r="B64" s="90" t="s">
        <v>166</v>
      </c>
      <c r="C64" s="175"/>
      <c r="D64" s="132"/>
      <c r="E64" s="132"/>
      <c r="F64" s="176" t="s">
        <v>194</v>
      </c>
      <c r="G64" s="133"/>
      <c r="H64" s="134"/>
      <c r="I64" s="133"/>
      <c r="J64" s="134"/>
      <c r="K64" s="232">
        <f>+K39-K45-K55-K62</f>
        <v>98908825.024845302</v>
      </c>
    </row>
    <row r="65" spans="1:12" ht="15.5" x14ac:dyDescent="0.35">
      <c r="B65" s="85"/>
      <c r="C65" s="175"/>
      <c r="D65" s="175"/>
      <c r="E65" s="175"/>
      <c r="F65" s="171"/>
      <c r="G65" s="133"/>
      <c r="H65" s="134"/>
      <c r="I65" s="133"/>
      <c r="J65" s="134"/>
      <c r="K65" s="138"/>
    </row>
    <row r="66" spans="1:12" ht="15.5" x14ac:dyDescent="0.35">
      <c r="B66" s="90"/>
      <c r="C66" s="175" t="s">
        <v>229</v>
      </c>
      <c r="D66" s="175"/>
      <c r="E66" s="177"/>
      <c r="F66" s="92"/>
      <c r="G66" s="178"/>
      <c r="H66" s="179"/>
      <c r="I66" s="178"/>
      <c r="J66" s="179"/>
      <c r="K66" s="85"/>
    </row>
    <row r="67" spans="1:12" ht="15.5" x14ac:dyDescent="0.35">
      <c r="B67" s="152"/>
      <c r="C67" s="198"/>
      <c r="D67" s="153" t="s">
        <v>227</v>
      </c>
      <c r="E67" s="153"/>
      <c r="F67" s="153" t="s">
        <v>195</v>
      </c>
      <c r="G67" s="165"/>
      <c r="H67" s="166"/>
      <c r="I67" s="180"/>
      <c r="J67" s="181"/>
      <c r="K67" s="233">
        <f>8277330*(1+'Variable Table'!G5)</f>
        <v>8696990.6309999991</v>
      </c>
      <c r="L67" t="s">
        <v>228</v>
      </c>
    </row>
    <row r="68" spans="1:12" ht="15.5" x14ac:dyDescent="0.35">
      <c r="A68" s="149"/>
      <c r="B68" s="85"/>
      <c r="C68" s="92"/>
      <c r="D68" s="128"/>
      <c r="E68" s="128"/>
      <c r="F68" s="128"/>
      <c r="G68" s="133"/>
      <c r="H68" s="136"/>
      <c r="I68" s="133"/>
      <c r="J68" s="136"/>
      <c r="K68" s="138"/>
    </row>
    <row r="69" spans="1:12" ht="15.5" x14ac:dyDescent="0.35">
      <c r="B69" s="182" t="s">
        <v>244</v>
      </c>
      <c r="C69" s="183"/>
      <c r="D69" s="183"/>
      <c r="E69" s="183"/>
      <c r="F69" s="184" t="s">
        <v>230</v>
      </c>
      <c r="G69" s="185"/>
      <c r="H69" s="186"/>
      <c r="I69" s="187"/>
      <c r="J69" s="188"/>
      <c r="K69" s="187">
        <f>K45+K55+K62+K67</f>
        <v>23322609.630999997</v>
      </c>
    </row>
    <row r="70" spans="1:12" ht="15.5" x14ac:dyDescent="0.35">
      <c r="A70" s="64"/>
      <c r="B70" s="90"/>
      <c r="C70" s="189"/>
      <c r="D70" s="189"/>
      <c r="E70" s="189"/>
      <c r="F70" s="189"/>
      <c r="G70" s="141"/>
      <c r="H70" s="142"/>
      <c r="I70" s="148"/>
      <c r="J70" s="147"/>
      <c r="K70" s="14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"/>
  <sheetViews>
    <sheetView zoomScale="130" zoomScaleNormal="130" workbookViewId="0">
      <selection activeCell="H5" sqref="H5"/>
    </sheetView>
  </sheetViews>
  <sheetFormatPr defaultRowHeight="14.5" x14ac:dyDescent="0.35"/>
  <cols>
    <col min="1" max="1" width="1.26953125" customWidth="1"/>
    <col min="2" max="2" width="13.08984375" bestFit="1" customWidth="1"/>
    <col min="3" max="3" width="14.453125" customWidth="1"/>
    <col min="4" max="4" width="13.26953125" customWidth="1"/>
    <col min="5" max="5" width="13.81640625" customWidth="1"/>
    <col min="6" max="6" width="13.453125" customWidth="1"/>
    <col min="7" max="8" width="15" customWidth="1"/>
  </cols>
  <sheetData>
    <row r="1" spans="2:9" x14ac:dyDescent="0.35">
      <c r="B1" s="243" t="s">
        <v>45</v>
      </c>
      <c r="C1" s="243"/>
      <c r="D1" s="243"/>
      <c r="E1" s="243"/>
      <c r="F1" s="243"/>
      <c r="G1" s="243"/>
      <c r="H1" s="243"/>
    </row>
    <row r="2" spans="2:9" ht="50.25" customHeight="1" x14ac:dyDescent="0.35">
      <c r="B2" s="57"/>
      <c r="C2" s="59" t="s">
        <v>16</v>
      </c>
      <c r="D2" s="59" t="s">
        <v>40</v>
      </c>
      <c r="E2" s="59" t="s">
        <v>41</v>
      </c>
      <c r="F2" s="59" t="s">
        <v>42</v>
      </c>
      <c r="G2" s="59" t="s">
        <v>43</v>
      </c>
      <c r="H2" s="59" t="s">
        <v>214</v>
      </c>
    </row>
    <row r="3" spans="2:9" x14ac:dyDescent="0.35">
      <c r="B3" s="60" t="s">
        <v>48</v>
      </c>
      <c r="C3" s="230">
        <f>'CC 21-22'!F8</f>
        <v>4959045.5278000003</v>
      </c>
      <c r="D3" s="58">
        <f>SUM('CC 21-22'!F9:F13)</f>
        <v>41254395</v>
      </c>
      <c r="E3" s="58">
        <f>'CC 21-22'!F23</f>
        <v>11371682</v>
      </c>
      <c r="F3" s="58">
        <f>'CC 21-22'!F60</f>
        <v>7497581.8078628797</v>
      </c>
      <c r="G3" s="58">
        <f>SUM(C3:F3)</f>
        <v>65082704.335662879</v>
      </c>
      <c r="H3" s="61">
        <f>G3/(G3+G4)</f>
        <v>0.59731720181660275</v>
      </c>
      <c r="I3" t="s">
        <v>216</v>
      </c>
    </row>
    <row r="4" spans="2:9" x14ac:dyDescent="0.35">
      <c r="B4" s="60" t="s">
        <v>49</v>
      </c>
      <c r="C4" s="230">
        <f>'LPC 21-22'!F8</f>
        <v>4250608.9513999997</v>
      </c>
      <c r="D4" s="58">
        <f>SUM('LPC 21-22'!F9:F13)</f>
        <v>30020051</v>
      </c>
      <c r="E4" s="58">
        <f>'LPC 21-22'!F23</f>
        <v>5567839</v>
      </c>
      <c r="F4" s="58">
        <f>'LPC 21-22'!F60</f>
        <v>4037159.4350030888</v>
      </c>
      <c r="G4" s="58">
        <f>SUM(C4:F4)</f>
        <v>43875658.386403084</v>
      </c>
      <c r="H4" s="61">
        <f>G4/(G3+G4)</f>
        <v>0.40268279818339731</v>
      </c>
      <c r="I4" t="s">
        <v>216</v>
      </c>
    </row>
    <row r="5" spans="2:9" x14ac:dyDescent="0.35">
      <c r="B5" s="60" t="s">
        <v>213</v>
      </c>
      <c r="C5" s="58">
        <f>'LPC 21-22'!D24</f>
        <v>0</v>
      </c>
      <c r="D5" s="58">
        <f>'LPC 21-22'!E24</f>
        <v>0</v>
      </c>
      <c r="E5" s="58">
        <f>'LPC 21-22'!F24</f>
        <v>0</v>
      </c>
      <c r="F5" s="58">
        <f>'LPC 21-22'!F61</f>
        <v>0</v>
      </c>
      <c r="G5" s="58">
        <f>'CLPCCD 21-22'!F65</f>
        <v>11035157.063534021</v>
      </c>
      <c r="H5" s="61">
        <f>G5/$G$6</f>
        <v>9.1964608449283225E-2</v>
      </c>
      <c r="I5" t="s">
        <v>215</v>
      </c>
    </row>
    <row r="6" spans="2:9" x14ac:dyDescent="0.35">
      <c r="B6" s="60" t="s">
        <v>23</v>
      </c>
      <c r="C6" s="58">
        <f t="shared" ref="C6:F6" si="0">SUM(C3:C5)</f>
        <v>9209654.4791999999</v>
      </c>
      <c r="D6" s="58">
        <f t="shared" si="0"/>
        <v>71274446</v>
      </c>
      <c r="E6" s="58">
        <f t="shared" si="0"/>
        <v>16939521</v>
      </c>
      <c r="F6" s="58">
        <f t="shared" si="0"/>
        <v>11534741.242865968</v>
      </c>
      <c r="G6" s="58">
        <f>SUM(G3:G5)</f>
        <v>119993519.78559998</v>
      </c>
      <c r="H6" s="61"/>
    </row>
  </sheetData>
  <mergeCells count="1">
    <mergeCell ref="B1:H1"/>
  </mergeCells>
  <pageMargins left="0.4" right="0.4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"/>
  <sheetViews>
    <sheetView zoomScale="90" zoomScaleNormal="90" workbookViewId="0">
      <selection activeCell="E9" sqref="E9:E13"/>
    </sheetView>
  </sheetViews>
  <sheetFormatPr defaultColWidth="17.7265625" defaultRowHeight="14.5" x14ac:dyDescent="0.35"/>
  <cols>
    <col min="1" max="1" width="38.26953125" style="1" bestFit="1" customWidth="1"/>
    <col min="2" max="4" width="17.7265625" style="1"/>
    <col min="5" max="5" width="21.81640625" style="1" customWidth="1"/>
    <col min="6" max="16384" width="17.7265625" style="1"/>
  </cols>
  <sheetData>
    <row r="1" spans="1:6" x14ac:dyDescent="0.35">
      <c r="A1" s="247" t="s">
        <v>81</v>
      </c>
      <c r="B1" s="248"/>
      <c r="C1" s="248"/>
      <c r="D1" s="248"/>
      <c r="E1" s="248"/>
      <c r="F1" s="249"/>
    </row>
    <row r="2" spans="1:6" ht="15" thickBot="1" x14ac:dyDescent="0.4">
      <c r="A2" s="250" t="s">
        <v>53</v>
      </c>
      <c r="B2" s="251"/>
      <c r="C2" s="251"/>
      <c r="D2" s="251"/>
      <c r="E2" s="251"/>
      <c r="F2" s="252"/>
    </row>
    <row r="3" spans="1:6" ht="15" thickBot="1" x14ac:dyDescent="0.4"/>
    <row r="4" spans="1:6" ht="15" thickBot="1" x14ac:dyDescent="0.4">
      <c r="A4" s="253" t="s">
        <v>26</v>
      </c>
      <c r="B4" s="254"/>
      <c r="C4" s="254"/>
      <c r="D4" s="254"/>
      <c r="E4" s="254"/>
      <c r="F4" s="255"/>
    </row>
    <row r="5" spans="1:6" s="2" customFormat="1" x14ac:dyDescent="0.3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</row>
    <row r="6" spans="1:6" x14ac:dyDescent="0.35">
      <c r="A6" s="10"/>
      <c r="B6" s="11"/>
      <c r="C6" s="11"/>
      <c r="D6" s="11"/>
      <c r="E6" s="11"/>
      <c r="F6" s="12"/>
    </row>
    <row r="7" spans="1:6" s="2" customFormat="1" x14ac:dyDescent="0.3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6" x14ac:dyDescent="0.35">
      <c r="A8" s="10" t="s">
        <v>16</v>
      </c>
      <c r="B8" s="26"/>
      <c r="C8" s="27"/>
      <c r="D8" s="28"/>
      <c r="E8" s="29"/>
      <c r="F8" s="54">
        <f>'Variable Table'!C5</f>
        <v>4250608.9513999997</v>
      </c>
    </row>
    <row r="9" spans="1:6" x14ac:dyDescent="0.35">
      <c r="A9" s="10" t="s">
        <v>0</v>
      </c>
      <c r="B9" s="50">
        <f>'Variable Table'!B6</f>
        <v>4212.2563</v>
      </c>
      <c r="C9" s="30">
        <v>1</v>
      </c>
      <c r="D9" s="28">
        <f>B9*C9</f>
        <v>4212.2563</v>
      </c>
      <c r="E9" s="29">
        <f>'FTES Allocation'!G26</f>
        <v>6796.0266666666676</v>
      </c>
      <c r="F9" s="54">
        <f>ROUND(E9*D9,0)</f>
        <v>28626606</v>
      </c>
    </row>
    <row r="10" spans="1:6" x14ac:dyDescent="0.35">
      <c r="A10" s="10" t="s">
        <v>76</v>
      </c>
      <c r="B10" s="50">
        <f>'Variable Table'!B7</f>
        <v>5906.9723579999991</v>
      </c>
      <c r="C10" s="30">
        <v>1</v>
      </c>
      <c r="D10" s="28">
        <f>B10*C10</f>
        <v>5906.9723579999991</v>
      </c>
      <c r="E10" s="29">
        <f>'FTES Allocation'!E28</f>
        <v>0</v>
      </c>
      <c r="F10" s="54"/>
    </row>
    <row r="11" spans="1:6" x14ac:dyDescent="0.35">
      <c r="A11" s="10" t="s">
        <v>77</v>
      </c>
      <c r="B11" s="50">
        <f>'Variable Table'!B8</f>
        <v>5906.9723579999991</v>
      </c>
      <c r="C11" s="30">
        <v>1</v>
      </c>
      <c r="D11" s="28">
        <f>B11*C11</f>
        <v>5906.9723579999991</v>
      </c>
      <c r="E11" s="29">
        <f>'FTES Allocation'!E27</f>
        <v>209.43999999999997</v>
      </c>
      <c r="F11" s="54">
        <f t="shared" ref="F11:F13" si="0">ROUND(E11*D11,0)</f>
        <v>1237156</v>
      </c>
    </row>
    <row r="12" spans="1:6" x14ac:dyDescent="0.35">
      <c r="A12" s="10" t="s">
        <v>2</v>
      </c>
      <c r="B12" s="50">
        <f>'Variable Table'!B9</f>
        <v>5906.9723579999991</v>
      </c>
      <c r="C12" s="24">
        <v>1</v>
      </c>
      <c r="D12" s="11">
        <f>B12*C12</f>
        <v>5906.9723579999991</v>
      </c>
      <c r="E12" s="14">
        <f>'FTES Allocation'!E19</f>
        <v>0</v>
      </c>
      <c r="F12" s="54">
        <f t="shared" si="0"/>
        <v>0</v>
      </c>
    </row>
    <row r="13" spans="1:6" x14ac:dyDescent="0.35">
      <c r="A13" s="10" t="s">
        <v>78</v>
      </c>
      <c r="B13" s="50">
        <f>'Variable Table'!B10</f>
        <v>3552.0279409999998</v>
      </c>
      <c r="C13" s="24">
        <v>1</v>
      </c>
      <c r="D13" s="11">
        <f>B13*C13</f>
        <v>3552.0279409999998</v>
      </c>
      <c r="E13" s="14">
        <f>'FTES Allocation'!E29</f>
        <v>44</v>
      </c>
      <c r="F13" s="54">
        <f t="shared" si="0"/>
        <v>156289</v>
      </c>
    </row>
    <row r="14" spans="1:6" ht="15" thickBot="1" x14ac:dyDescent="0.4">
      <c r="A14" s="15"/>
      <c r="B14" s="16"/>
      <c r="C14" s="17"/>
      <c r="D14" s="17"/>
      <c r="E14" s="18" t="s">
        <v>29</v>
      </c>
      <c r="F14" s="56">
        <f>SUM(F8:F13)</f>
        <v>34270659.951399997</v>
      </c>
    </row>
    <row r="15" spans="1:6" ht="15" thickBot="1" x14ac:dyDescent="0.4">
      <c r="B15" s="6"/>
      <c r="E15" s="3"/>
      <c r="F15" s="4"/>
    </row>
    <row r="16" spans="1:6" ht="15" thickBot="1" x14ac:dyDescent="0.4">
      <c r="A16" s="256" t="s">
        <v>24</v>
      </c>
      <c r="B16" s="257"/>
      <c r="C16" s="257"/>
      <c r="D16" s="257"/>
      <c r="E16" s="257"/>
      <c r="F16" s="258"/>
    </row>
    <row r="17" spans="1:6" s="2" customFormat="1" x14ac:dyDescent="0.35">
      <c r="A17" s="19"/>
      <c r="B17" s="20" t="s">
        <v>6</v>
      </c>
      <c r="C17" s="21" t="s">
        <v>7</v>
      </c>
      <c r="D17" s="21" t="s">
        <v>9</v>
      </c>
      <c r="E17" s="21" t="s">
        <v>8</v>
      </c>
      <c r="F17" s="22" t="s">
        <v>12</v>
      </c>
    </row>
    <row r="18" spans="1:6" x14ac:dyDescent="0.35">
      <c r="A18" s="10"/>
      <c r="B18" s="13"/>
      <c r="C18" s="11"/>
      <c r="D18" s="11"/>
      <c r="E18" s="11"/>
      <c r="F18" s="12"/>
    </row>
    <row r="19" spans="1:6" s="2" customFormat="1" x14ac:dyDescent="0.35">
      <c r="A19" s="7"/>
      <c r="B19" s="23" t="s">
        <v>18</v>
      </c>
      <c r="C19" s="8" t="s">
        <v>19</v>
      </c>
      <c r="D19" s="8" t="s">
        <v>20</v>
      </c>
      <c r="E19" s="8" t="s">
        <v>21</v>
      </c>
      <c r="F19" s="9" t="s">
        <v>11</v>
      </c>
    </row>
    <row r="20" spans="1:6" x14ac:dyDescent="0.35">
      <c r="A20" s="10" t="s">
        <v>33</v>
      </c>
      <c r="B20" s="29">
        <f>'Variable Table'!B14</f>
        <v>1</v>
      </c>
      <c r="C20" s="32">
        <f>'Supplemental Allocation'!K15</f>
        <v>3842.1457219251338</v>
      </c>
      <c r="D20" s="31">
        <f>B20*C20</f>
        <v>3842.1457219251338</v>
      </c>
      <c r="E20" s="28">
        <f>'Variable Table'!C14</f>
        <v>996.06359999999995</v>
      </c>
      <c r="F20" s="55">
        <f>ROUND(D20*E20,0)</f>
        <v>3827021</v>
      </c>
    </row>
    <row r="21" spans="1:6" x14ac:dyDescent="0.35">
      <c r="A21" s="10" t="s">
        <v>17</v>
      </c>
      <c r="B21" s="29">
        <f>'Variable Table'!B15</f>
        <v>1</v>
      </c>
      <c r="C21" s="32">
        <f>'Supplemental Allocation'!K13</f>
        <v>169.38920454545456</v>
      </c>
      <c r="D21" s="31">
        <f>B21*C21</f>
        <v>169.38920454545456</v>
      </c>
      <c r="E21" s="28">
        <f>'Variable Table'!C15</f>
        <v>996.06359999999995</v>
      </c>
      <c r="F21" s="55">
        <f t="shared" ref="F21:F22" si="1">ROUND(D21*E21,0)</f>
        <v>168722</v>
      </c>
    </row>
    <row r="22" spans="1:6" x14ac:dyDescent="0.35">
      <c r="A22" s="10" t="s">
        <v>13</v>
      </c>
      <c r="B22" s="29">
        <f>'Variable Table'!B16</f>
        <v>1</v>
      </c>
      <c r="C22" s="32">
        <f>'Supplemental Allocation'!K14</f>
        <v>1578.3088235294119</v>
      </c>
      <c r="D22" s="31">
        <f>B22*C22</f>
        <v>1578.3088235294119</v>
      </c>
      <c r="E22" s="28">
        <f>'Variable Table'!C16</f>
        <v>996.06359999999995</v>
      </c>
      <c r="F22" s="55">
        <f t="shared" si="1"/>
        <v>1572096</v>
      </c>
    </row>
    <row r="23" spans="1:6" ht="15" thickBot="1" x14ac:dyDescent="0.4">
      <c r="A23" s="15"/>
      <c r="B23" s="17"/>
      <c r="C23" s="25"/>
      <c r="D23" s="17"/>
      <c r="E23" s="18" t="s">
        <v>27</v>
      </c>
      <c r="F23" s="56">
        <f>SUM(F20:F22)</f>
        <v>5567839</v>
      </c>
    </row>
    <row r="24" spans="1:6" ht="15" thickBot="1" x14ac:dyDescent="0.4">
      <c r="C24" s="5"/>
    </row>
    <row r="25" spans="1:6" ht="15" thickBot="1" x14ac:dyDescent="0.4">
      <c r="A25" s="244" t="s">
        <v>25</v>
      </c>
      <c r="B25" s="245"/>
      <c r="C25" s="245"/>
      <c r="D25" s="245"/>
      <c r="E25" s="245"/>
      <c r="F25" s="246"/>
    </row>
    <row r="26" spans="1:6" x14ac:dyDescent="0.35">
      <c r="A26" s="19"/>
      <c r="B26" s="20" t="s">
        <v>6</v>
      </c>
      <c r="C26" s="21" t="s">
        <v>7</v>
      </c>
      <c r="D26" s="21" t="s">
        <v>9</v>
      </c>
      <c r="E26" s="21" t="s">
        <v>8</v>
      </c>
      <c r="F26" s="22" t="s">
        <v>12</v>
      </c>
    </row>
    <row r="27" spans="1:6" x14ac:dyDescent="0.35">
      <c r="A27" s="10"/>
      <c r="B27" s="13"/>
      <c r="C27" s="11"/>
      <c r="D27" s="11"/>
      <c r="E27" s="11"/>
      <c r="F27" s="12"/>
    </row>
    <row r="28" spans="1:6" x14ac:dyDescent="0.35">
      <c r="A28" s="36" t="s">
        <v>65</v>
      </c>
      <c r="B28" s="23" t="s">
        <v>18</v>
      </c>
      <c r="C28" s="8" t="s">
        <v>19</v>
      </c>
      <c r="D28" s="8" t="s">
        <v>20</v>
      </c>
      <c r="E28" s="8" t="s">
        <v>21</v>
      </c>
      <c r="F28" s="9" t="s">
        <v>11</v>
      </c>
    </row>
    <row r="29" spans="1:6" x14ac:dyDescent="0.35">
      <c r="A29" s="10" t="s">
        <v>22</v>
      </c>
      <c r="B29" s="43">
        <f>'Variable Table'!B20</f>
        <v>4</v>
      </c>
      <c r="C29" s="32">
        <f>'Success Allocation'!O8</f>
        <v>281.61414985070184</v>
      </c>
      <c r="D29" s="31">
        <f t="shared" ref="D29:D36" si="2">B29*C29</f>
        <v>1126.4565994028073</v>
      </c>
      <c r="E29" s="28">
        <f>'Variable Table'!C20</f>
        <v>587.34129999999993</v>
      </c>
      <c r="F29" s="54">
        <f>E29*D29</f>
        <v>661614.48348682397</v>
      </c>
    </row>
    <row r="30" spans="1:6" x14ac:dyDescent="0.35">
      <c r="A30" s="10" t="s">
        <v>66</v>
      </c>
      <c r="B30" s="43">
        <f>'Variable Table'!B21</f>
        <v>3</v>
      </c>
      <c r="C30" s="32">
        <f>'Success Allocation'!O9</f>
        <v>270.43312877894306</v>
      </c>
      <c r="D30" s="31">
        <f t="shared" si="2"/>
        <v>811.29938633682923</v>
      </c>
      <c r="E30" s="28">
        <f>'Variable Table'!C21</f>
        <v>587.34129999999993</v>
      </c>
      <c r="F30" s="54">
        <f t="shared" ref="F30:F36" si="3">E30*D30</f>
        <v>476509.63626027544</v>
      </c>
    </row>
    <row r="31" spans="1:6" x14ac:dyDescent="0.35">
      <c r="A31" s="10" t="s">
        <v>67</v>
      </c>
      <c r="B31" s="43">
        <f>'Variable Table'!B22</f>
        <v>3</v>
      </c>
      <c r="C31" s="32">
        <f>'Success Allocation'!O10</f>
        <v>0</v>
      </c>
      <c r="D31" s="31">
        <f t="shared" si="2"/>
        <v>0</v>
      </c>
      <c r="E31" s="28">
        <f>'Variable Table'!C22</f>
        <v>587.34129999999993</v>
      </c>
      <c r="F31" s="54">
        <f t="shared" si="3"/>
        <v>0</v>
      </c>
    </row>
    <row r="32" spans="1:6" x14ac:dyDescent="0.35">
      <c r="A32" s="10" t="s">
        <v>68</v>
      </c>
      <c r="B32" s="43">
        <f>'Variable Table'!B23</f>
        <v>2</v>
      </c>
      <c r="C32" s="32">
        <f>'Success Allocation'!O11</f>
        <v>73.211927911845024</v>
      </c>
      <c r="D32" s="31">
        <f t="shared" si="2"/>
        <v>146.42385582369005</v>
      </c>
      <c r="E32" s="28">
        <f>'Variable Table'!C23</f>
        <v>587.34129999999993</v>
      </c>
      <c r="F32" s="54">
        <f t="shared" si="3"/>
        <v>86000.777830498671</v>
      </c>
    </row>
    <row r="33" spans="1:6" x14ac:dyDescent="0.35">
      <c r="A33" s="10" t="s">
        <v>69</v>
      </c>
      <c r="B33" s="43">
        <f>'Variable Table'!B24</f>
        <v>2</v>
      </c>
      <c r="C33" s="32">
        <f>'Success Allocation'!O12</f>
        <v>286.82079919665915</v>
      </c>
      <c r="D33" s="31">
        <f t="shared" si="2"/>
        <v>573.6415983933183</v>
      </c>
      <c r="E33" s="28">
        <f>'Variable Table'!C24</f>
        <v>587.34129999999993</v>
      </c>
      <c r="F33" s="54">
        <f t="shared" si="3"/>
        <v>336923.40213440947</v>
      </c>
    </row>
    <row r="34" spans="1:6" x14ac:dyDescent="0.35">
      <c r="A34" s="10" t="s">
        <v>70</v>
      </c>
      <c r="B34" s="43">
        <f>'Variable Table'!B25</f>
        <v>1.5</v>
      </c>
      <c r="C34" s="32">
        <f>'Success Allocation'!O13</f>
        <v>442.19722337339408</v>
      </c>
      <c r="D34" s="31">
        <f t="shared" si="2"/>
        <v>663.29583506009112</v>
      </c>
      <c r="E34" s="28">
        <f>'Variable Table'!C25</f>
        <v>587.34129999999993</v>
      </c>
      <c r="F34" s="54">
        <f t="shared" si="3"/>
        <v>389581.03804877948</v>
      </c>
    </row>
    <row r="35" spans="1:6" x14ac:dyDescent="0.35">
      <c r="A35" s="10" t="s">
        <v>71</v>
      </c>
      <c r="B35" s="43">
        <f>'Variable Table'!B26</f>
        <v>1</v>
      </c>
      <c r="C35" s="32">
        <f>'Success Allocation'!O14</f>
        <v>1251.1576827441104</v>
      </c>
      <c r="D35" s="31">
        <f t="shared" si="2"/>
        <v>1251.1576827441104</v>
      </c>
      <c r="E35" s="28">
        <f>'Variable Table'!C26</f>
        <v>587.34129999999993</v>
      </c>
      <c r="F35" s="54">
        <f t="shared" si="3"/>
        <v>734856.57988791331</v>
      </c>
    </row>
    <row r="36" spans="1:6" x14ac:dyDescent="0.35">
      <c r="A36" s="10" t="s">
        <v>72</v>
      </c>
      <c r="B36" s="43">
        <f>'Variable Table'!B27</f>
        <v>1</v>
      </c>
      <c r="C36" s="32">
        <f>'Success Allocation'!O15</f>
        <v>1000.2238685751325</v>
      </c>
      <c r="D36" s="31">
        <f t="shared" si="2"/>
        <v>1000.2238685751325</v>
      </c>
      <c r="E36" s="28">
        <f>'Variable Table'!C27</f>
        <v>587.34129999999993</v>
      </c>
      <c r="F36" s="54">
        <f t="shared" si="3"/>
        <v>587472.78725994739</v>
      </c>
    </row>
    <row r="37" spans="1:6" x14ac:dyDescent="0.35">
      <c r="A37" s="7" t="s">
        <v>23</v>
      </c>
      <c r="B37" s="34"/>
      <c r="C37" s="32"/>
      <c r="D37" s="31"/>
      <c r="E37" s="33"/>
      <c r="F37" s="70">
        <f>SUM(F29:F36)</f>
        <v>3272958.7049086476</v>
      </c>
    </row>
    <row r="38" spans="1:6" x14ac:dyDescent="0.35">
      <c r="A38" s="35"/>
      <c r="B38" s="34"/>
      <c r="C38" s="32"/>
      <c r="D38" s="31"/>
      <c r="E38" s="33"/>
      <c r="F38" s="55"/>
    </row>
    <row r="39" spans="1:6" x14ac:dyDescent="0.35">
      <c r="A39" s="36" t="s">
        <v>34</v>
      </c>
      <c r="B39" s="34"/>
      <c r="C39" s="32"/>
      <c r="D39" s="31"/>
      <c r="E39" s="33"/>
      <c r="F39" s="55"/>
    </row>
    <row r="40" spans="1:6" x14ac:dyDescent="0.35">
      <c r="A40" s="10" t="s">
        <v>22</v>
      </c>
      <c r="B40" s="43">
        <f>'Variable Table'!B30</f>
        <v>6</v>
      </c>
      <c r="C40" s="32">
        <f>'Success Allocation'!O18</f>
        <v>122.55753185204077</v>
      </c>
      <c r="D40" s="31">
        <f t="shared" ref="D40:D47" si="4">B40*C40</f>
        <v>735.34519111224461</v>
      </c>
      <c r="E40" s="28">
        <f>'Variable Table'!C30</f>
        <v>148.14869999999999</v>
      </c>
      <c r="F40" s="54">
        <f>E40*D40</f>
        <v>108940.43411453058</v>
      </c>
    </row>
    <row r="41" spans="1:6" x14ac:dyDescent="0.35">
      <c r="A41" s="10" t="s">
        <v>66</v>
      </c>
      <c r="B41" s="43">
        <f>'Variable Table'!B31</f>
        <v>4.5</v>
      </c>
      <c r="C41" s="32">
        <f>'Success Allocation'!O19</f>
        <v>122.60507773066827</v>
      </c>
      <c r="D41" s="31">
        <f t="shared" si="4"/>
        <v>551.72284978800724</v>
      </c>
      <c r="E41" s="28">
        <f>'Variable Table'!C31</f>
        <v>148.14869999999999</v>
      </c>
      <c r="F41" s="54">
        <f t="shared" ref="F41:F47" si="5">E41*D41</f>
        <v>81737.022956388537</v>
      </c>
    </row>
    <row r="42" spans="1:6" x14ac:dyDescent="0.35">
      <c r="A42" s="10" t="s">
        <v>67</v>
      </c>
      <c r="B42" s="43">
        <f>'Variable Table'!B32</f>
        <v>4.5</v>
      </c>
      <c r="C42" s="32">
        <f>'Success Allocation'!O20</f>
        <v>0</v>
      </c>
      <c r="D42" s="31">
        <f t="shared" si="4"/>
        <v>0</v>
      </c>
      <c r="E42" s="28">
        <f>'Variable Table'!C32</f>
        <v>148.14869999999999</v>
      </c>
      <c r="F42" s="54">
        <f t="shared" si="5"/>
        <v>0</v>
      </c>
    </row>
    <row r="43" spans="1:6" x14ac:dyDescent="0.35">
      <c r="A43" s="10" t="s">
        <v>68</v>
      </c>
      <c r="B43" s="43">
        <f>'Variable Table'!B33</f>
        <v>3</v>
      </c>
      <c r="C43" s="32">
        <f>'Success Allocation'!O21</f>
        <v>28.588127344405834</v>
      </c>
      <c r="D43" s="31">
        <f t="shared" si="4"/>
        <v>85.764382033217501</v>
      </c>
      <c r="E43" s="28">
        <f>'Variable Table'!C33</f>
        <v>148.14869999999999</v>
      </c>
      <c r="F43" s="54">
        <f t="shared" si="5"/>
        <v>12705.881704524529</v>
      </c>
    </row>
    <row r="44" spans="1:6" x14ac:dyDescent="0.35">
      <c r="A44" s="10" t="s">
        <v>69</v>
      </c>
      <c r="B44" s="43">
        <f>'Variable Table'!B34</f>
        <v>3</v>
      </c>
      <c r="C44" s="32">
        <f>'Success Allocation'!O22</f>
        <v>73.656220047392864</v>
      </c>
      <c r="D44" s="31">
        <f t="shared" si="4"/>
        <v>220.96866014217858</v>
      </c>
      <c r="E44" s="28">
        <f>'Variable Table'!C34</f>
        <v>148.14869999999999</v>
      </c>
      <c r="F44" s="54">
        <f t="shared" si="5"/>
        <v>32736.219740805569</v>
      </c>
    </row>
    <row r="45" spans="1:6" x14ac:dyDescent="0.35">
      <c r="A45" s="10" t="s">
        <v>70</v>
      </c>
      <c r="B45" s="43">
        <f>'Variable Table'!B35</f>
        <v>2.25</v>
      </c>
      <c r="C45" s="32">
        <f>'Success Allocation'!O23</f>
        <v>157.30801640685601</v>
      </c>
      <c r="D45" s="31">
        <f t="shared" si="4"/>
        <v>353.94303691542603</v>
      </c>
      <c r="E45" s="28">
        <f>'Variable Table'!C35</f>
        <v>148.14869999999999</v>
      </c>
      <c r="F45" s="54">
        <f t="shared" si="5"/>
        <v>52436.20079307237</v>
      </c>
    </row>
    <row r="46" spans="1:6" x14ac:dyDescent="0.35">
      <c r="A46" s="10" t="s">
        <v>71</v>
      </c>
      <c r="B46" s="43">
        <f>'Variable Table'!B36</f>
        <v>1.5</v>
      </c>
      <c r="C46" s="32">
        <f>'Success Allocation'!O24</f>
        <v>314.90250565845258</v>
      </c>
      <c r="D46" s="31">
        <f t="shared" si="4"/>
        <v>472.35375848767887</v>
      </c>
      <c r="E46" s="28">
        <f>'Variable Table'!C36</f>
        <v>148.14869999999999</v>
      </c>
      <c r="F46" s="54">
        <f t="shared" si="5"/>
        <v>69978.595260063594</v>
      </c>
    </row>
    <row r="47" spans="1:6" x14ac:dyDescent="0.35">
      <c r="A47" s="10" t="s">
        <v>72</v>
      </c>
      <c r="B47" s="43">
        <f>'Variable Table'!B37</f>
        <v>1.5</v>
      </c>
      <c r="C47" s="32">
        <f>'Success Allocation'!O25</f>
        <v>203.69020742346478</v>
      </c>
      <c r="D47" s="31">
        <f t="shared" si="4"/>
        <v>305.53531113519716</v>
      </c>
      <c r="E47" s="28">
        <f>'Variable Table'!C37</f>
        <v>148.14869999999999</v>
      </c>
      <c r="F47" s="54">
        <f t="shared" si="5"/>
        <v>45264.659148774983</v>
      </c>
    </row>
    <row r="48" spans="1:6" x14ac:dyDescent="0.35">
      <c r="A48" s="7" t="s">
        <v>23</v>
      </c>
      <c r="B48" s="34"/>
      <c r="C48" s="32"/>
      <c r="D48" s="31"/>
      <c r="E48" s="33"/>
      <c r="F48" s="70">
        <f>SUM(F40:F47)</f>
        <v>403799.01371816016</v>
      </c>
    </row>
    <row r="49" spans="1:6" x14ac:dyDescent="0.35">
      <c r="A49" s="35"/>
      <c r="B49" s="34"/>
      <c r="C49" s="32"/>
      <c r="D49" s="31"/>
      <c r="E49" s="33"/>
      <c r="F49" s="55"/>
    </row>
    <row r="50" spans="1:6" x14ac:dyDescent="0.35">
      <c r="A50" s="36" t="s">
        <v>79</v>
      </c>
      <c r="B50" s="34"/>
      <c r="C50" s="32"/>
      <c r="D50" s="31"/>
      <c r="E50" s="33"/>
      <c r="F50" s="55"/>
    </row>
    <row r="51" spans="1:6" x14ac:dyDescent="0.35">
      <c r="A51" s="10" t="s">
        <v>22</v>
      </c>
      <c r="B51" s="34">
        <f>'Variable Table'!B40</f>
        <v>4</v>
      </c>
      <c r="C51" s="32">
        <f>'Success Allocation'!O28</f>
        <v>175.89916903099663</v>
      </c>
      <c r="D51" s="31">
        <f t="shared" ref="D51:D58" si="6">B51*C51</f>
        <v>703.59667612398653</v>
      </c>
      <c r="E51" s="28">
        <f>'Variable Table'!C40</f>
        <v>148.14869999999999</v>
      </c>
      <c r="F51" s="54">
        <f>E51*D51</f>
        <v>104236.93289208964</v>
      </c>
    </row>
    <row r="52" spans="1:6" x14ac:dyDescent="0.35">
      <c r="A52" s="10" t="s">
        <v>66</v>
      </c>
      <c r="B52" s="34">
        <f>'Variable Table'!B41</f>
        <v>3</v>
      </c>
      <c r="C52" s="32">
        <f>'Success Allocation'!O29</f>
        <v>177.00230854240385</v>
      </c>
      <c r="D52" s="31">
        <f t="shared" si="6"/>
        <v>531.00692562721156</v>
      </c>
      <c r="E52" s="28">
        <f>'Variable Table'!C41</f>
        <v>148.14869999999999</v>
      </c>
      <c r="F52" s="54">
        <f t="shared" ref="F52:F58" si="7">E52*D52</f>
        <v>78667.985722668076</v>
      </c>
    </row>
    <row r="53" spans="1:6" x14ac:dyDescent="0.35">
      <c r="A53" s="10" t="s">
        <v>67</v>
      </c>
      <c r="B53" s="34">
        <f>'Variable Table'!B42</f>
        <v>3</v>
      </c>
      <c r="C53" s="32">
        <f>'Success Allocation'!O30</f>
        <v>0</v>
      </c>
      <c r="D53" s="31">
        <f t="shared" si="6"/>
        <v>0</v>
      </c>
      <c r="E53" s="28">
        <f>'Variable Table'!C42</f>
        <v>148.14869999999999</v>
      </c>
      <c r="F53" s="54">
        <f t="shared" si="7"/>
        <v>0</v>
      </c>
    </row>
    <row r="54" spans="1:6" x14ac:dyDescent="0.35">
      <c r="A54" s="10" t="s">
        <v>68</v>
      </c>
      <c r="B54" s="34">
        <f>'Variable Table'!B43</f>
        <v>2</v>
      </c>
      <c r="C54" s="32">
        <f>'Success Allocation'!O31</f>
        <v>42.076711615501502</v>
      </c>
      <c r="D54" s="31">
        <f t="shared" si="6"/>
        <v>84.153423231003003</v>
      </c>
      <c r="E54" s="28">
        <f>'Variable Table'!C43</f>
        <v>148.14869999999999</v>
      </c>
      <c r="F54" s="54">
        <f t="shared" si="7"/>
        <v>12467.220252222894</v>
      </c>
    </row>
    <row r="55" spans="1:6" x14ac:dyDescent="0.35">
      <c r="A55" s="10" t="s">
        <v>69</v>
      </c>
      <c r="B55" s="34">
        <f>'Variable Table'!B44</f>
        <v>2</v>
      </c>
      <c r="C55" s="32">
        <f>'Success Allocation'!O32</f>
        <v>118.72291434218495</v>
      </c>
      <c r="D55" s="31">
        <f t="shared" si="6"/>
        <v>237.4458286843699</v>
      </c>
      <c r="E55" s="28">
        <f>'Variable Table'!C44</f>
        <v>148.14869999999999</v>
      </c>
      <c r="F55" s="54">
        <f t="shared" si="7"/>
        <v>35177.290840012109</v>
      </c>
    </row>
    <row r="56" spans="1:6" x14ac:dyDescent="0.35">
      <c r="A56" s="10" t="s">
        <v>70</v>
      </c>
      <c r="B56" s="34">
        <f>'Variable Table'!B45</f>
        <v>1.5</v>
      </c>
      <c r="C56" s="32">
        <f>'Success Allocation'!O33</f>
        <v>236.4363825220228</v>
      </c>
      <c r="D56" s="31">
        <f t="shared" si="6"/>
        <v>354.65457378303421</v>
      </c>
      <c r="E56" s="28">
        <f>'Variable Table'!C45</f>
        <v>148.14869999999999</v>
      </c>
      <c r="F56" s="54"/>
    </row>
    <row r="57" spans="1:6" x14ac:dyDescent="0.35">
      <c r="A57" s="10" t="s">
        <v>71</v>
      </c>
      <c r="B57" s="34">
        <f>'Variable Table'!B46</f>
        <v>1</v>
      </c>
      <c r="C57" s="32">
        <f>'Success Allocation'!O34</f>
        <v>482.00213161613902</v>
      </c>
      <c r="D57" s="31">
        <f t="shared" si="6"/>
        <v>482.00213161613902</v>
      </c>
      <c r="E57" s="28">
        <f>'Variable Table'!C46</f>
        <v>148.14869999999999</v>
      </c>
      <c r="F57" s="54">
        <f t="shared" si="7"/>
        <v>71407.989196159891</v>
      </c>
    </row>
    <row r="58" spans="1:6" x14ac:dyDescent="0.35">
      <c r="A58" s="10" t="s">
        <v>72</v>
      </c>
      <c r="B58" s="34">
        <f>'Variable Table'!B47</f>
        <v>1</v>
      </c>
      <c r="C58" s="32">
        <f>'Success Allocation'!O35</f>
        <v>394.49753844028606</v>
      </c>
      <c r="D58" s="31">
        <f t="shared" si="6"/>
        <v>394.49753844028606</v>
      </c>
      <c r="E58" s="28">
        <f>'Variable Table'!C47</f>
        <v>148.14869999999999</v>
      </c>
      <c r="F58" s="54">
        <f t="shared" si="7"/>
        <v>58444.297473128405</v>
      </c>
    </row>
    <row r="59" spans="1:6" x14ac:dyDescent="0.35">
      <c r="A59" s="7" t="s">
        <v>23</v>
      </c>
      <c r="B59" s="34"/>
      <c r="C59" s="32"/>
      <c r="D59" s="31"/>
      <c r="E59" s="33"/>
      <c r="F59" s="70">
        <f>SUM(F51:F58)</f>
        <v>360401.71637628105</v>
      </c>
    </row>
    <row r="60" spans="1:6" ht="15" thickBot="1" x14ac:dyDescent="0.4">
      <c r="A60" s="15"/>
      <c r="B60" s="17"/>
      <c r="C60" s="25"/>
      <c r="D60" s="17"/>
      <c r="E60" s="18" t="s">
        <v>28</v>
      </c>
      <c r="F60" s="56">
        <f>F37+F48+F59</f>
        <v>4037159.4350030888</v>
      </c>
    </row>
    <row r="62" spans="1:6" x14ac:dyDescent="0.35">
      <c r="E62" s="3" t="s">
        <v>14</v>
      </c>
      <c r="F62" s="53">
        <f>F14+F23+F60</f>
        <v>43875658.386403084</v>
      </c>
    </row>
    <row r="64" spans="1:6" x14ac:dyDescent="0.35">
      <c r="E64" s="4"/>
    </row>
  </sheetData>
  <mergeCells count="5">
    <mergeCell ref="A25:F25"/>
    <mergeCell ref="A1:F1"/>
    <mergeCell ref="A2:F2"/>
    <mergeCell ref="A4:F4"/>
    <mergeCell ref="A16:F16"/>
  </mergeCells>
  <pageMargins left="0.45" right="0.45" top="0.5" bottom="0.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zoomScale="90" zoomScaleNormal="90" workbookViewId="0">
      <selection activeCell="E11" sqref="E11"/>
    </sheetView>
  </sheetViews>
  <sheetFormatPr defaultColWidth="17.7265625" defaultRowHeight="14.5" x14ac:dyDescent="0.35"/>
  <cols>
    <col min="1" max="1" width="38.26953125" style="1" bestFit="1" customWidth="1"/>
    <col min="2" max="4" width="17.7265625" style="1"/>
    <col min="5" max="5" width="21.81640625" style="1" customWidth="1"/>
    <col min="6" max="16384" width="17.7265625" style="1"/>
  </cols>
  <sheetData>
    <row r="1" spans="1:6" x14ac:dyDescent="0.35">
      <c r="A1" s="247" t="s">
        <v>75</v>
      </c>
      <c r="B1" s="248"/>
      <c r="C1" s="248"/>
      <c r="D1" s="248"/>
      <c r="E1" s="248"/>
      <c r="F1" s="249"/>
    </row>
    <row r="2" spans="1:6" ht="15" thickBot="1" x14ac:dyDescent="0.4">
      <c r="A2" s="250" t="s">
        <v>53</v>
      </c>
      <c r="B2" s="251"/>
      <c r="C2" s="251"/>
      <c r="D2" s="251"/>
      <c r="E2" s="251"/>
      <c r="F2" s="252"/>
    </row>
    <row r="3" spans="1:6" ht="15" thickBot="1" x14ac:dyDescent="0.4"/>
    <row r="4" spans="1:6" ht="15" thickBot="1" x14ac:dyDescent="0.4">
      <c r="A4" s="253" t="s">
        <v>26</v>
      </c>
      <c r="B4" s="254"/>
      <c r="C4" s="254"/>
      <c r="D4" s="254"/>
      <c r="E4" s="254"/>
      <c r="F4" s="255"/>
    </row>
    <row r="5" spans="1:6" s="2" customFormat="1" x14ac:dyDescent="0.3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</row>
    <row r="6" spans="1:6" x14ac:dyDescent="0.35">
      <c r="A6" s="10"/>
      <c r="B6" s="11"/>
      <c r="C6" s="11"/>
      <c r="D6" s="11"/>
      <c r="E6" s="11"/>
      <c r="F6" s="12"/>
    </row>
    <row r="7" spans="1:6" s="2" customFormat="1" x14ac:dyDescent="0.3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6" x14ac:dyDescent="0.35">
      <c r="A8" s="10" t="s">
        <v>16</v>
      </c>
      <c r="B8" s="26"/>
      <c r="C8" s="27"/>
      <c r="D8" s="28"/>
      <c r="E8" s="29"/>
      <c r="F8" s="54">
        <f>'Variable Table'!B5</f>
        <v>4959045.5278000003</v>
      </c>
    </row>
    <row r="9" spans="1:6" x14ac:dyDescent="0.35">
      <c r="A9" s="10" t="s">
        <v>0</v>
      </c>
      <c r="B9" s="50">
        <f>'Variable Table'!B6</f>
        <v>4212.2563</v>
      </c>
      <c r="C9" s="30">
        <v>1</v>
      </c>
      <c r="D9" s="28">
        <f>B9*C9</f>
        <v>4212.2563</v>
      </c>
      <c r="E9" s="29">
        <f>'FTES Allocation'!G15</f>
        <v>9469.424444444443</v>
      </c>
      <c r="F9" s="54">
        <f>ROUND(E9*D9,0)</f>
        <v>39887643</v>
      </c>
    </row>
    <row r="10" spans="1:6" x14ac:dyDescent="0.35">
      <c r="A10" s="10" t="s">
        <v>76</v>
      </c>
      <c r="B10" s="50">
        <f>'Variable Table'!B7</f>
        <v>5906.9723579999991</v>
      </c>
      <c r="C10" s="30">
        <v>1</v>
      </c>
      <c r="D10" s="28">
        <f>B10*C10</f>
        <v>5906.9723579999991</v>
      </c>
      <c r="E10" s="29">
        <f>'FTES Allocation'!E17</f>
        <v>0</v>
      </c>
      <c r="F10" s="54">
        <f t="shared" ref="F10:F13" si="0">ROUND(E10*D10,0)</f>
        <v>0</v>
      </c>
    </row>
    <row r="11" spans="1:6" x14ac:dyDescent="0.35">
      <c r="A11" s="10" t="s">
        <v>77</v>
      </c>
      <c r="B11" s="50">
        <f>'Variable Table'!B8</f>
        <v>5906.9723579999991</v>
      </c>
      <c r="C11" s="30">
        <v>1</v>
      </c>
      <c r="D11" s="28">
        <f>B11*C11</f>
        <v>5906.9723579999991</v>
      </c>
      <c r="E11" s="29">
        <f>'FTES Allocation'!E16</f>
        <v>171.24666666666667</v>
      </c>
      <c r="F11" s="54">
        <f t="shared" si="0"/>
        <v>1011549</v>
      </c>
    </row>
    <row r="12" spans="1:6" x14ac:dyDescent="0.35">
      <c r="A12" s="10" t="s">
        <v>2</v>
      </c>
      <c r="B12" s="50">
        <f>'Variable Table'!B9</f>
        <v>5906.9723579999991</v>
      </c>
      <c r="C12" s="24">
        <v>1</v>
      </c>
      <c r="D12" s="11">
        <f>B12*C12</f>
        <v>5906.9723579999991</v>
      </c>
      <c r="E12" s="14">
        <f>'FTES Allocation'!E19</f>
        <v>0</v>
      </c>
      <c r="F12" s="54">
        <f t="shared" si="0"/>
        <v>0</v>
      </c>
    </row>
    <row r="13" spans="1:6" x14ac:dyDescent="0.35">
      <c r="A13" s="10" t="s">
        <v>78</v>
      </c>
      <c r="B13" s="50">
        <f>'Variable Table'!B10</f>
        <v>3552.0279409999998</v>
      </c>
      <c r="C13" s="24">
        <v>1</v>
      </c>
      <c r="D13" s="11">
        <f>B13*C13</f>
        <v>3552.0279409999998</v>
      </c>
      <c r="E13" s="14">
        <f>'FTES Allocation'!E18</f>
        <v>100</v>
      </c>
      <c r="F13" s="54">
        <f t="shared" si="0"/>
        <v>355203</v>
      </c>
    </row>
    <row r="14" spans="1:6" ht="15" thickBot="1" x14ac:dyDescent="0.4">
      <c r="A14" s="15"/>
      <c r="B14" s="16"/>
      <c r="C14" s="17"/>
      <c r="D14" s="17"/>
      <c r="E14" s="18" t="s">
        <v>29</v>
      </c>
      <c r="F14" s="56">
        <f>SUM(F8:F13)</f>
        <v>46213440.527800001</v>
      </c>
    </row>
    <row r="15" spans="1:6" ht="15" thickBot="1" x14ac:dyDescent="0.4">
      <c r="B15" s="6"/>
      <c r="E15" s="3"/>
      <c r="F15" s="4"/>
    </row>
    <row r="16" spans="1:6" ht="15" thickBot="1" x14ac:dyDescent="0.4">
      <c r="A16" s="256" t="s">
        <v>24</v>
      </c>
      <c r="B16" s="257"/>
      <c r="C16" s="257"/>
      <c r="D16" s="257"/>
      <c r="E16" s="257"/>
      <c r="F16" s="258"/>
    </row>
    <row r="17" spans="1:6" s="2" customFormat="1" x14ac:dyDescent="0.35">
      <c r="A17" s="19"/>
      <c r="B17" s="20" t="s">
        <v>6</v>
      </c>
      <c r="C17" s="21" t="s">
        <v>7</v>
      </c>
      <c r="D17" s="21" t="s">
        <v>9</v>
      </c>
      <c r="E17" s="21" t="s">
        <v>8</v>
      </c>
      <c r="F17" s="22" t="s">
        <v>12</v>
      </c>
    </row>
    <row r="18" spans="1:6" x14ac:dyDescent="0.35">
      <c r="A18" s="10"/>
      <c r="B18" s="13"/>
      <c r="C18" s="11"/>
      <c r="D18" s="11"/>
      <c r="E18" s="11"/>
      <c r="F18" s="12"/>
    </row>
    <row r="19" spans="1:6" s="2" customFormat="1" x14ac:dyDescent="0.35">
      <c r="A19" s="7"/>
      <c r="B19" s="23" t="s">
        <v>18</v>
      </c>
      <c r="C19" s="8" t="s">
        <v>19</v>
      </c>
      <c r="D19" s="8" t="s">
        <v>20</v>
      </c>
      <c r="E19" s="8" t="s">
        <v>21</v>
      </c>
      <c r="F19" s="9" t="s">
        <v>11</v>
      </c>
    </row>
    <row r="20" spans="1:6" x14ac:dyDescent="0.35">
      <c r="A20" s="10" t="s">
        <v>33</v>
      </c>
      <c r="B20" s="29">
        <f>'Variable Table'!B14</f>
        <v>1</v>
      </c>
      <c r="C20" s="32">
        <f>'Supplemental Allocation'!K9</f>
        <v>7923.6233183856493</v>
      </c>
      <c r="D20" s="31">
        <f>B20*C20</f>
        <v>7923.6233183856493</v>
      </c>
      <c r="E20" s="28">
        <f>'Variable Table'!C14</f>
        <v>996.06359999999995</v>
      </c>
      <c r="F20" s="55">
        <f>ROUND(D20*E20,0)</f>
        <v>7892433</v>
      </c>
    </row>
    <row r="21" spans="1:6" x14ac:dyDescent="0.35">
      <c r="A21" s="10" t="s">
        <v>17</v>
      </c>
      <c r="B21" s="29">
        <f>'Variable Table'!B15</f>
        <v>1</v>
      </c>
      <c r="C21" s="32">
        <f>'Supplemental Allocation'!K7</f>
        <v>535.64558527910924</v>
      </c>
      <c r="D21" s="31">
        <f>B21*C21</f>
        <v>535.64558527910924</v>
      </c>
      <c r="E21" s="28">
        <f>'Variable Table'!C15</f>
        <v>996.06359999999995</v>
      </c>
      <c r="F21" s="55">
        <f t="shared" ref="F21:F22" si="1">ROUND(D21*E21,0)</f>
        <v>533537</v>
      </c>
    </row>
    <row r="22" spans="1:6" x14ac:dyDescent="0.35">
      <c r="A22" s="10" t="s">
        <v>13</v>
      </c>
      <c r="B22" s="29">
        <f>'Variable Table'!B16</f>
        <v>1</v>
      </c>
      <c r="C22" s="32">
        <f>'Supplemental Allocation'!K8</f>
        <v>2957.3533323024585</v>
      </c>
      <c r="D22" s="31">
        <f>B22*C22</f>
        <v>2957.3533323024585</v>
      </c>
      <c r="E22" s="28">
        <f>'Variable Table'!C16</f>
        <v>996.06359999999995</v>
      </c>
      <c r="F22" s="55">
        <f t="shared" si="1"/>
        <v>2945712</v>
      </c>
    </row>
    <row r="23" spans="1:6" ht="15" thickBot="1" x14ac:dyDescent="0.4">
      <c r="A23" s="15"/>
      <c r="B23" s="17"/>
      <c r="C23" s="25"/>
      <c r="D23" s="17"/>
      <c r="E23" s="18" t="s">
        <v>27</v>
      </c>
      <c r="F23" s="56">
        <f>SUM(F20:F22)</f>
        <v>11371682</v>
      </c>
    </row>
    <row r="24" spans="1:6" ht="15" thickBot="1" x14ac:dyDescent="0.4">
      <c r="C24" s="5"/>
    </row>
    <row r="25" spans="1:6" ht="15" thickBot="1" x14ac:dyDescent="0.4">
      <c r="A25" s="244" t="s">
        <v>25</v>
      </c>
      <c r="B25" s="245"/>
      <c r="C25" s="245"/>
      <c r="D25" s="245"/>
      <c r="E25" s="245"/>
      <c r="F25" s="246"/>
    </row>
    <row r="26" spans="1:6" x14ac:dyDescent="0.35">
      <c r="A26" s="19"/>
      <c r="B26" s="20" t="s">
        <v>6</v>
      </c>
      <c r="C26" s="21" t="s">
        <v>7</v>
      </c>
      <c r="D26" s="21" t="s">
        <v>9</v>
      </c>
      <c r="E26" s="21" t="s">
        <v>8</v>
      </c>
      <c r="F26" s="22" t="s">
        <v>12</v>
      </c>
    </row>
    <row r="27" spans="1:6" x14ac:dyDescent="0.35">
      <c r="A27" s="10"/>
      <c r="B27" s="13"/>
      <c r="C27" s="11"/>
      <c r="D27" s="11"/>
      <c r="E27" s="11"/>
      <c r="F27" s="12"/>
    </row>
    <row r="28" spans="1:6" x14ac:dyDescent="0.35">
      <c r="A28" s="36" t="s">
        <v>65</v>
      </c>
      <c r="B28" s="23" t="s">
        <v>18</v>
      </c>
      <c r="C28" s="8" t="s">
        <v>19</v>
      </c>
      <c r="D28" s="8" t="s">
        <v>20</v>
      </c>
      <c r="E28" s="8" t="s">
        <v>21</v>
      </c>
      <c r="F28" s="9" t="s">
        <v>11</v>
      </c>
    </row>
    <row r="29" spans="1:6" x14ac:dyDescent="0.35">
      <c r="A29" s="10" t="s">
        <v>22</v>
      </c>
      <c r="B29" s="43">
        <f>'Variable Table'!B20</f>
        <v>4</v>
      </c>
      <c r="C29" s="32">
        <f>'Success Allocation'!N8</f>
        <v>522.99770686558918</v>
      </c>
      <c r="D29" s="31">
        <f t="shared" ref="D29:D36" si="2">B29*C29</f>
        <v>2091.9908274623567</v>
      </c>
      <c r="E29" s="28">
        <f>'Variable Table'!C20</f>
        <v>587.34129999999993</v>
      </c>
      <c r="F29" s="54">
        <f>E29*D29</f>
        <v>1228712.6121898161</v>
      </c>
    </row>
    <row r="30" spans="1:6" x14ac:dyDescent="0.35">
      <c r="A30" s="10" t="s">
        <v>66</v>
      </c>
      <c r="B30" s="43">
        <f>'Variable Table'!B21</f>
        <v>3</v>
      </c>
      <c r="C30" s="32">
        <f>'Success Allocation'!N9</f>
        <v>502.23295344660869</v>
      </c>
      <c r="D30" s="31">
        <f t="shared" si="2"/>
        <v>1506.6988603398261</v>
      </c>
      <c r="E30" s="28">
        <f>'Variable Table'!C21</f>
        <v>587.34129999999993</v>
      </c>
      <c r="F30" s="54">
        <f t="shared" ref="F30:F36" si="3">E30*D30</f>
        <v>884946.46734051174</v>
      </c>
    </row>
    <row r="31" spans="1:6" x14ac:dyDescent="0.35">
      <c r="A31" s="10" t="s">
        <v>67</v>
      </c>
      <c r="B31" s="43">
        <f>'Variable Table'!B22</f>
        <v>3</v>
      </c>
      <c r="C31" s="32">
        <f>'Success Allocation'!N10</f>
        <v>0</v>
      </c>
      <c r="D31" s="31">
        <f t="shared" si="2"/>
        <v>0</v>
      </c>
      <c r="E31" s="28">
        <f>'Variable Table'!C22</f>
        <v>587.34129999999993</v>
      </c>
      <c r="F31" s="54">
        <f t="shared" si="3"/>
        <v>0</v>
      </c>
    </row>
    <row r="32" spans="1:6" x14ac:dyDescent="0.35">
      <c r="A32" s="10" t="s">
        <v>68</v>
      </c>
      <c r="B32" s="43">
        <f>'Variable Table'!B23</f>
        <v>2</v>
      </c>
      <c r="C32" s="32">
        <f>'Success Allocation'!N11</f>
        <v>135.96500897914078</v>
      </c>
      <c r="D32" s="31">
        <f t="shared" si="2"/>
        <v>271.93001795828155</v>
      </c>
      <c r="E32" s="28">
        <f>'Variable Table'!C23</f>
        <v>587.34129999999993</v>
      </c>
      <c r="F32" s="54">
        <f t="shared" si="3"/>
        <v>159715.73025664041</v>
      </c>
    </row>
    <row r="33" spans="1:6" x14ac:dyDescent="0.35">
      <c r="A33" s="10" t="s">
        <v>69</v>
      </c>
      <c r="B33" s="43">
        <f>'Variable Table'!B24</f>
        <v>2</v>
      </c>
      <c r="C33" s="32">
        <f>'Success Allocation'!N12</f>
        <v>532.66719850808124</v>
      </c>
      <c r="D33" s="31">
        <f t="shared" si="2"/>
        <v>1065.3343970161625</v>
      </c>
      <c r="E33" s="28">
        <f>'Variable Table'!C24</f>
        <v>587.34129999999993</v>
      </c>
      <c r="F33" s="54">
        <f t="shared" si="3"/>
        <v>625714.88967818895</v>
      </c>
    </row>
    <row r="34" spans="1:6" x14ac:dyDescent="0.35">
      <c r="A34" s="10" t="s">
        <v>70</v>
      </c>
      <c r="B34" s="43">
        <f>'Variable Table'!B25</f>
        <v>1.5</v>
      </c>
      <c r="C34" s="32">
        <f>'Success Allocation'!N13</f>
        <v>821.2234148363035</v>
      </c>
      <c r="D34" s="31">
        <f t="shared" si="2"/>
        <v>1231.8351222544552</v>
      </c>
      <c r="E34" s="28">
        <f>'Variable Table'!C25</f>
        <v>587.34129999999993</v>
      </c>
      <c r="F34" s="54">
        <f t="shared" si="3"/>
        <v>723507.64209059055</v>
      </c>
    </row>
    <row r="35" spans="1:6" x14ac:dyDescent="0.35">
      <c r="A35" s="10" t="s">
        <v>71</v>
      </c>
      <c r="B35" s="43">
        <f>'Variable Table'!B26</f>
        <v>1</v>
      </c>
      <c r="C35" s="32">
        <f>'Success Allocation'!N14</f>
        <v>2323.5785536676335</v>
      </c>
      <c r="D35" s="31">
        <f t="shared" si="2"/>
        <v>2323.5785536676335</v>
      </c>
      <c r="E35" s="28">
        <f>'Variable Table'!C26</f>
        <v>587.34129999999993</v>
      </c>
      <c r="F35" s="54">
        <f t="shared" si="3"/>
        <v>1364733.6483632675</v>
      </c>
    </row>
    <row r="36" spans="1:6" x14ac:dyDescent="0.35">
      <c r="A36" s="10" t="s">
        <v>72</v>
      </c>
      <c r="B36" s="43">
        <f>'Variable Table'!B27</f>
        <v>1</v>
      </c>
      <c r="C36" s="32">
        <f>'Success Allocation'!N15</f>
        <v>1857.5586130681033</v>
      </c>
      <c r="D36" s="31">
        <f t="shared" si="2"/>
        <v>1857.5586130681033</v>
      </c>
      <c r="E36" s="28">
        <f>'Variable Table'!C27</f>
        <v>587.34129999999993</v>
      </c>
      <c r="F36" s="54">
        <f t="shared" si="3"/>
        <v>1091020.8906256168</v>
      </c>
    </row>
    <row r="37" spans="1:6" x14ac:dyDescent="0.35">
      <c r="A37" s="7" t="s">
        <v>23</v>
      </c>
      <c r="B37" s="34"/>
      <c r="C37" s="32"/>
      <c r="D37" s="31"/>
      <c r="E37" s="33"/>
      <c r="F37" s="70">
        <f>SUM(F29:F36)</f>
        <v>6078351.8805446317</v>
      </c>
    </row>
    <row r="38" spans="1:6" x14ac:dyDescent="0.35">
      <c r="A38" s="35"/>
      <c r="B38" s="34"/>
      <c r="C38" s="32"/>
      <c r="D38" s="31"/>
      <c r="E38" s="33"/>
      <c r="F38" s="12"/>
    </row>
    <row r="39" spans="1:6" x14ac:dyDescent="0.35">
      <c r="A39" s="36" t="s">
        <v>34</v>
      </c>
      <c r="B39" s="34"/>
      <c r="C39" s="32"/>
      <c r="D39" s="31"/>
      <c r="E39" s="33"/>
      <c r="F39" s="12"/>
    </row>
    <row r="40" spans="1:6" x14ac:dyDescent="0.35">
      <c r="A40" s="10" t="s">
        <v>22</v>
      </c>
      <c r="B40" s="43">
        <f>'Variable Table'!B30</f>
        <v>6</v>
      </c>
      <c r="C40" s="32">
        <f>'Success Allocation'!N18</f>
        <v>227.60684486807574</v>
      </c>
      <c r="D40" s="31">
        <f t="shared" ref="D40:D47" si="4">B40*C40</f>
        <v>1365.6410692084544</v>
      </c>
      <c r="E40" s="28">
        <f>'Variable Table'!C30</f>
        <v>148.14869999999999</v>
      </c>
      <c r="F40" s="54">
        <f>E40*D40</f>
        <v>202317.94906984252</v>
      </c>
    </row>
    <row r="41" spans="1:6" x14ac:dyDescent="0.35">
      <c r="A41" s="10" t="s">
        <v>66</v>
      </c>
      <c r="B41" s="43">
        <f>'Variable Table'!B31</f>
        <v>4.5</v>
      </c>
      <c r="C41" s="32">
        <f>'Success Allocation'!N19</f>
        <v>227.69514435695541</v>
      </c>
      <c r="D41" s="31">
        <f t="shared" si="4"/>
        <v>1024.6281496062993</v>
      </c>
      <c r="E41" s="28">
        <f>'Variable Table'!C31</f>
        <v>148.14869999999999</v>
      </c>
      <c r="F41" s="54">
        <f t="shared" ref="F41:F47" si="5">E41*D41</f>
        <v>151797.32834757873</v>
      </c>
    </row>
    <row r="42" spans="1:6" x14ac:dyDescent="0.35">
      <c r="A42" s="10" t="s">
        <v>67</v>
      </c>
      <c r="B42" s="43">
        <f>'Variable Table'!B32</f>
        <v>4.5</v>
      </c>
      <c r="C42" s="32">
        <f>'Success Allocation'!N20</f>
        <v>0</v>
      </c>
      <c r="D42" s="31">
        <f t="shared" si="4"/>
        <v>0</v>
      </c>
      <c r="E42" s="28">
        <f>'Variable Table'!C32</f>
        <v>148.14869999999999</v>
      </c>
      <c r="F42" s="54">
        <f t="shared" si="5"/>
        <v>0</v>
      </c>
    </row>
    <row r="43" spans="1:6" x14ac:dyDescent="0.35">
      <c r="A43" s="10" t="s">
        <v>68</v>
      </c>
      <c r="B43" s="43">
        <f>'Variable Table'!B33</f>
        <v>3</v>
      </c>
      <c r="C43" s="32">
        <f>'Success Allocation'!N21</f>
        <v>53.092236496753692</v>
      </c>
      <c r="D43" s="31">
        <f t="shared" si="4"/>
        <v>159.27670949026108</v>
      </c>
      <c r="E43" s="28">
        <f>'Variable Table'!C33</f>
        <v>148.14869999999999</v>
      </c>
      <c r="F43" s="54">
        <f t="shared" si="5"/>
        <v>23596.637451259841</v>
      </c>
    </row>
    <row r="44" spans="1:6" x14ac:dyDescent="0.35">
      <c r="A44" s="10" t="s">
        <v>69</v>
      </c>
      <c r="B44" s="43">
        <f>'Variable Table'!B34</f>
        <v>3</v>
      </c>
      <c r="C44" s="32">
        <f>'Success Allocation'!N22</f>
        <v>136.79012294515817</v>
      </c>
      <c r="D44" s="31">
        <f t="shared" si="4"/>
        <v>410.37036883547455</v>
      </c>
      <c r="E44" s="28">
        <f>'Variable Table'!C34</f>
        <v>148.14869999999999</v>
      </c>
      <c r="F44" s="54">
        <f t="shared" si="5"/>
        <v>60795.836661496061</v>
      </c>
    </row>
    <row r="45" spans="1:6" x14ac:dyDescent="0.35">
      <c r="A45" s="10" t="s">
        <v>70</v>
      </c>
      <c r="B45" s="43">
        <f>'Variable Table'!B35</f>
        <v>2.25</v>
      </c>
      <c r="C45" s="32">
        <f>'Success Allocation'!N23</f>
        <v>292.14345904130408</v>
      </c>
      <c r="D45" s="31">
        <f t="shared" si="4"/>
        <v>657.3227828429342</v>
      </c>
      <c r="E45" s="28">
        <f>'Variable Table'!C35</f>
        <v>148.14869999999999</v>
      </c>
      <c r="F45" s="54">
        <f t="shared" si="5"/>
        <v>97381.515758562993</v>
      </c>
    </row>
    <row r="46" spans="1:6" x14ac:dyDescent="0.35">
      <c r="A46" s="10" t="s">
        <v>71</v>
      </c>
      <c r="B46" s="43">
        <f>'Variable Table'!B36</f>
        <v>1.5</v>
      </c>
      <c r="C46" s="32">
        <f>'Success Allocation'!N24</f>
        <v>584.81893907998347</v>
      </c>
      <c r="D46" s="31">
        <f t="shared" si="4"/>
        <v>877.2284086199752</v>
      </c>
      <c r="E46" s="28">
        <f>'Variable Table'!C36</f>
        <v>148.14869999999999</v>
      </c>
      <c r="F46" s="54">
        <f t="shared" si="5"/>
        <v>129960.24834011811</v>
      </c>
    </row>
    <row r="47" spans="1:6" x14ac:dyDescent="0.35">
      <c r="A47" s="10" t="s">
        <v>72</v>
      </c>
      <c r="B47" s="43">
        <f>'Variable Table'!B37</f>
        <v>1.5</v>
      </c>
      <c r="C47" s="32">
        <f>'Success Allocation'!N25</f>
        <v>378.28181378643461</v>
      </c>
      <c r="D47" s="31">
        <f t="shared" si="4"/>
        <v>567.42272067965189</v>
      </c>
      <c r="E47" s="28">
        <f>'Variable Table'!C37</f>
        <v>148.14869999999999</v>
      </c>
      <c r="F47" s="54">
        <f t="shared" si="5"/>
        <v>84062.938419153536</v>
      </c>
    </row>
    <row r="48" spans="1:6" x14ac:dyDescent="0.35">
      <c r="A48" s="7" t="s">
        <v>23</v>
      </c>
      <c r="B48" s="34"/>
      <c r="C48" s="32"/>
      <c r="D48" s="31"/>
      <c r="E48" s="33"/>
      <c r="F48" s="70">
        <f>SUM(F40:F47)</f>
        <v>749912.4540480118</v>
      </c>
    </row>
    <row r="49" spans="1:6" x14ac:dyDescent="0.35">
      <c r="A49" s="35"/>
      <c r="B49" s="34"/>
      <c r="C49" s="32"/>
      <c r="D49" s="31"/>
      <c r="E49" s="33"/>
      <c r="F49" s="12"/>
    </row>
    <row r="50" spans="1:6" x14ac:dyDescent="0.35">
      <c r="A50" s="36" t="s">
        <v>79</v>
      </c>
      <c r="B50" s="34"/>
      <c r="C50" s="32"/>
      <c r="D50" s="31"/>
      <c r="E50" s="33"/>
      <c r="F50" s="12"/>
    </row>
    <row r="51" spans="1:6" x14ac:dyDescent="0.35">
      <c r="A51" s="10" t="s">
        <v>22</v>
      </c>
      <c r="B51" s="34">
        <f>'Variable Table'!B40</f>
        <v>4</v>
      </c>
      <c r="C51" s="32">
        <f>'Success Allocation'!N28</f>
        <v>326.66988534327947</v>
      </c>
      <c r="D51" s="31">
        <f t="shared" ref="D51:D58" si="6">B51*C51</f>
        <v>1306.6795413731179</v>
      </c>
      <c r="E51" s="28">
        <f>'Variable Table'!C40</f>
        <v>148.14869999999999</v>
      </c>
      <c r="F51" s="54">
        <f>E51*D51</f>
        <v>193582.87537102363</v>
      </c>
    </row>
    <row r="52" spans="1:6" x14ac:dyDescent="0.35">
      <c r="A52" s="10" t="s">
        <v>66</v>
      </c>
      <c r="B52" s="34">
        <f>'Variable Table'!B41</f>
        <v>3</v>
      </c>
      <c r="C52" s="32">
        <f>'Success Allocation'!N29</f>
        <v>328.71857300732148</v>
      </c>
      <c r="D52" s="31">
        <f t="shared" si="6"/>
        <v>986.15571902196439</v>
      </c>
      <c r="E52" s="28">
        <f>'Variable Table'!C41</f>
        <v>148.14869999999999</v>
      </c>
      <c r="F52" s="54">
        <f t="shared" ref="F52:F58" si="7">E52*D52</f>
        <v>146097.68777066929</v>
      </c>
    </row>
    <row r="53" spans="1:6" x14ac:dyDescent="0.35">
      <c r="A53" s="10" t="s">
        <v>67</v>
      </c>
      <c r="B53" s="34">
        <f>'Variable Table'!B42</f>
        <v>3</v>
      </c>
      <c r="C53" s="32">
        <f>'Success Allocation'!N30</f>
        <v>0</v>
      </c>
      <c r="D53" s="31">
        <f t="shared" si="6"/>
        <v>0</v>
      </c>
      <c r="E53" s="28">
        <f>'Variable Table'!C42</f>
        <v>148.14869999999999</v>
      </c>
      <c r="F53" s="54">
        <f t="shared" si="7"/>
        <v>0</v>
      </c>
    </row>
    <row r="54" spans="1:6" x14ac:dyDescent="0.35">
      <c r="A54" s="10" t="s">
        <v>68</v>
      </c>
      <c r="B54" s="34">
        <f>'Variable Table'!B43</f>
        <v>2</v>
      </c>
      <c r="C54" s="32">
        <f>'Success Allocation'!N31</f>
        <v>78.142464428788514</v>
      </c>
      <c r="D54" s="31">
        <f t="shared" si="6"/>
        <v>156.28492885757703</v>
      </c>
      <c r="E54" s="28">
        <f>'Variable Table'!C43</f>
        <v>148.14869999999999</v>
      </c>
      <c r="F54" s="54">
        <f t="shared" si="7"/>
        <v>23153.409039842521</v>
      </c>
    </row>
    <row r="55" spans="1:6" x14ac:dyDescent="0.35">
      <c r="A55" s="10" t="s">
        <v>69</v>
      </c>
      <c r="B55" s="34">
        <f>'Variable Table'!B44</f>
        <v>2</v>
      </c>
      <c r="C55" s="32">
        <f>'Success Allocation'!N32</f>
        <v>220.4854123497721</v>
      </c>
      <c r="D55" s="31">
        <f t="shared" si="6"/>
        <v>440.97082469954421</v>
      </c>
      <c r="E55" s="28">
        <f>'Variable Table'!C44</f>
        <v>148.14869999999999</v>
      </c>
      <c r="F55" s="54">
        <f t="shared" si="7"/>
        <v>65329.254417165364</v>
      </c>
    </row>
    <row r="56" spans="1:6" x14ac:dyDescent="0.35">
      <c r="A56" s="10" t="s">
        <v>70</v>
      </c>
      <c r="B56" s="34">
        <f>'Variable Table'!B45</f>
        <v>1.5</v>
      </c>
      <c r="C56" s="32">
        <f>'Success Allocation'!N33</f>
        <v>439.09613896947099</v>
      </c>
      <c r="D56" s="31">
        <f t="shared" si="6"/>
        <v>658.64420845420648</v>
      </c>
      <c r="E56" s="28">
        <f>'Variable Table'!C45</f>
        <v>148.14869999999999</v>
      </c>
      <c r="F56" s="54"/>
    </row>
    <row r="57" spans="1:6" x14ac:dyDescent="0.35">
      <c r="A57" s="10" t="s">
        <v>71</v>
      </c>
      <c r="B57" s="34">
        <f>'Variable Table'!B46</f>
        <v>1</v>
      </c>
      <c r="C57" s="32">
        <f>'Success Allocation'!N34</f>
        <v>895.14681585854396</v>
      </c>
      <c r="D57" s="31">
        <f t="shared" si="6"/>
        <v>895.14681585854396</v>
      </c>
      <c r="E57" s="28">
        <f>'Variable Table'!C46</f>
        <v>148.14869999999999</v>
      </c>
      <c r="F57" s="54">
        <f t="shared" si="7"/>
        <v>132614.83707858267</v>
      </c>
    </row>
    <row r="58" spans="1:6" x14ac:dyDescent="0.35">
      <c r="A58" s="10" t="s">
        <v>72</v>
      </c>
      <c r="B58" s="34">
        <f>'Variable Table'!B47</f>
        <v>1</v>
      </c>
      <c r="C58" s="32">
        <f>'Success Allocation'!N35</f>
        <v>732.63828567481698</v>
      </c>
      <c r="D58" s="31">
        <f t="shared" si="6"/>
        <v>732.63828567481698</v>
      </c>
      <c r="E58" s="28">
        <f>'Variable Table'!C47</f>
        <v>148.14869999999999</v>
      </c>
      <c r="F58" s="54">
        <f t="shared" si="7"/>
        <v>108539.40959295275</v>
      </c>
    </row>
    <row r="59" spans="1:6" x14ac:dyDescent="0.35">
      <c r="A59" s="7" t="s">
        <v>23</v>
      </c>
      <c r="B59" s="34"/>
      <c r="C59" s="32"/>
      <c r="D59" s="31"/>
      <c r="E59" s="33"/>
      <c r="F59" s="70">
        <f>SUM(F51:F58)</f>
        <v>669317.47327023628</v>
      </c>
    </row>
    <row r="60" spans="1:6" ht="15" thickBot="1" x14ac:dyDescent="0.4">
      <c r="A60" s="15"/>
      <c r="B60" s="17"/>
      <c r="C60" s="25"/>
      <c r="D60" s="17"/>
      <c r="E60" s="18" t="s">
        <v>28</v>
      </c>
      <c r="F60" s="56">
        <f>F37+F48+F59</f>
        <v>7497581.8078628797</v>
      </c>
    </row>
    <row r="62" spans="1:6" x14ac:dyDescent="0.35">
      <c r="E62" s="3" t="s">
        <v>14</v>
      </c>
      <c r="F62" s="53">
        <f>F14+F23+F60</f>
        <v>65082704.335662879</v>
      </c>
    </row>
    <row r="63" spans="1:6" x14ac:dyDescent="0.35">
      <c r="F63" s="78"/>
    </row>
    <row r="64" spans="1:6" x14ac:dyDescent="0.35">
      <c r="E64" s="4"/>
    </row>
  </sheetData>
  <mergeCells count="5">
    <mergeCell ref="A25:F25"/>
    <mergeCell ref="A1:F1"/>
    <mergeCell ref="A2:F2"/>
    <mergeCell ref="A4:F4"/>
    <mergeCell ref="A16:F16"/>
  </mergeCells>
  <pageMargins left="0.45" right="0.45" top="0.5" bottom="0.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8"/>
  <sheetViews>
    <sheetView zoomScale="90" zoomScaleNormal="90" workbookViewId="0">
      <selection activeCell="E9" sqref="E9:E11"/>
    </sheetView>
  </sheetViews>
  <sheetFormatPr defaultColWidth="17.7265625" defaultRowHeight="14.5" x14ac:dyDescent="0.35"/>
  <cols>
    <col min="1" max="1" width="38.26953125" style="1" bestFit="1" customWidth="1"/>
    <col min="2" max="4" width="17.7265625" style="1"/>
    <col min="5" max="5" width="21.81640625" style="1" customWidth="1"/>
    <col min="6" max="16384" width="17.7265625" style="1"/>
  </cols>
  <sheetData>
    <row r="1" spans="1:6" x14ac:dyDescent="0.35">
      <c r="A1" s="247" t="s">
        <v>47</v>
      </c>
      <c r="B1" s="248"/>
      <c r="C1" s="248"/>
      <c r="D1" s="248"/>
      <c r="E1" s="248"/>
      <c r="F1" s="249"/>
    </row>
    <row r="2" spans="1:6" ht="15" thickBot="1" x14ac:dyDescent="0.4">
      <c r="A2" s="250" t="s">
        <v>53</v>
      </c>
      <c r="B2" s="251"/>
      <c r="C2" s="251"/>
      <c r="D2" s="251"/>
      <c r="E2" s="251"/>
      <c r="F2" s="252"/>
    </row>
    <row r="3" spans="1:6" ht="15" thickBot="1" x14ac:dyDescent="0.4"/>
    <row r="4" spans="1:6" ht="15" thickBot="1" x14ac:dyDescent="0.4">
      <c r="A4" s="253" t="s">
        <v>26</v>
      </c>
      <c r="B4" s="254"/>
      <c r="C4" s="254"/>
      <c r="D4" s="254"/>
      <c r="E4" s="254"/>
      <c r="F4" s="255"/>
    </row>
    <row r="5" spans="1:6" s="2" customFormat="1" x14ac:dyDescent="0.3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</row>
    <row r="6" spans="1:6" x14ac:dyDescent="0.35">
      <c r="A6" s="10"/>
      <c r="B6" s="11"/>
      <c r="C6" s="11"/>
      <c r="D6" s="11"/>
      <c r="E6" s="11"/>
      <c r="F6" s="12"/>
    </row>
    <row r="7" spans="1:6" s="2" customFormat="1" x14ac:dyDescent="0.3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6" x14ac:dyDescent="0.35">
      <c r="A8" s="10" t="s">
        <v>16</v>
      </c>
      <c r="B8" s="26"/>
      <c r="C8" s="27"/>
      <c r="D8" s="28"/>
      <c r="E8" s="29"/>
      <c r="F8" s="54">
        <f>'CC 21-22'!F8+'LPC 21-22'!F8</f>
        <v>9209654.4791999999</v>
      </c>
    </row>
    <row r="9" spans="1:6" ht="18.649999999999999" customHeight="1" x14ac:dyDescent="0.35">
      <c r="A9" s="10" t="s">
        <v>0</v>
      </c>
      <c r="B9" s="50">
        <f>'Variable Table'!B6</f>
        <v>4212.2563</v>
      </c>
      <c r="C9" s="30">
        <v>1</v>
      </c>
      <c r="D9" s="28">
        <f>B9*C9</f>
        <v>4212.2563</v>
      </c>
      <c r="E9" s="29">
        <f>'CC 21-22'!E9+'LPC 21-22'!E9</f>
        <v>16265.45111111111</v>
      </c>
      <c r="F9" s="54">
        <f>ROUND(E9*D9,0)</f>
        <v>68514249</v>
      </c>
    </row>
    <row r="10" spans="1:6" x14ac:dyDescent="0.35">
      <c r="A10" s="10" t="s">
        <v>76</v>
      </c>
      <c r="B10" s="50">
        <f>'Variable Table'!B7</f>
        <v>5906.9723579999991</v>
      </c>
      <c r="C10" s="30">
        <v>1</v>
      </c>
      <c r="D10" s="28">
        <f>B10*C10</f>
        <v>5906.9723579999991</v>
      </c>
      <c r="E10" s="29">
        <f>'CC 21-22'!E10+'LPC 21-22'!E10</f>
        <v>0</v>
      </c>
      <c r="F10" s="54">
        <f>ROUND(E10*D10,0)</f>
        <v>0</v>
      </c>
    </row>
    <row r="11" spans="1:6" x14ac:dyDescent="0.35">
      <c r="A11" s="10" t="s">
        <v>77</v>
      </c>
      <c r="B11" s="50">
        <f>'Variable Table'!B8</f>
        <v>5906.9723579999991</v>
      </c>
      <c r="C11" s="30">
        <v>1</v>
      </c>
      <c r="D11" s="28">
        <f>B11*C11</f>
        <v>5906.9723579999991</v>
      </c>
      <c r="E11" s="29">
        <f>'CC 21-22'!E11+'LPC 21-22'!E11</f>
        <v>380.68666666666661</v>
      </c>
      <c r="F11" s="54">
        <f t="shared" ref="F11:F13" si="0">ROUND(E11*D11,0)</f>
        <v>2248706</v>
      </c>
    </row>
    <row r="12" spans="1:6" x14ac:dyDescent="0.35">
      <c r="A12" s="10" t="s">
        <v>2</v>
      </c>
      <c r="B12" s="50">
        <f>'Variable Table'!B9</f>
        <v>5906.9723579999991</v>
      </c>
      <c r="C12" s="24">
        <v>1</v>
      </c>
      <c r="D12" s="11">
        <f>B12*C12</f>
        <v>5906.9723579999991</v>
      </c>
      <c r="E12" s="29">
        <f>'CC 21-22'!E12+'LPC 21-22'!E12</f>
        <v>0</v>
      </c>
      <c r="F12" s="54">
        <f t="shared" si="0"/>
        <v>0</v>
      </c>
    </row>
    <row r="13" spans="1:6" x14ac:dyDescent="0.35">
      <c r="A13" s="10" t="s">
        <v>78</v>
      </c>
      <c r="B13" s="50">
        <f>'Variable Table'!B10</f>
        <v>3552.0279409999998</v>
      </c>
      <c r="C13" s="24">
        <v>1</v>
      </c>
      <c r="D13" s="11">
        <f>B13*C13</f>
        <v>3552.0279409999998</v>
      </c>
      <c r="E13" s="29">
        <f>'CC 21-22'!E13+'LPC 21-22'!E13</f>
        <v>144</v>
      </c>
      <c r="F13" s="54">
        <f t="shared" si="0"/>
        <v>511492</v>
      </c>
    </row>
    <row r="14" spans="1:6" ht="15" thickBot="1" x14ac:dyDescent="0.4">
      <c r="A14" s="15"/>
      <c r="B14" s="16"/>
      <c r="C14" s="17"/>
      <c r="D14" s="17"/>
      <c r="E14" s="18" t="s">
        <v>29</v>
      </c>
      <c r="F14" s="56">
        <f>SUM(F8:F13)</f>
        <v>80484101.479200006</v>
      </c>
    </row>
    <row r="15" spans="1:6" ht="15" thickBot="1" x14ac:dyDescent="0.4">
      <c r="B15" s="6"/>
      <c r="E15" s="3"/>
      <c r="F15" s="4"/>
    </row>
    <row r="16" spans="1:6" ht="15" thickBot="1" x14ac:dyDescent="0.4">
      <c r="A16" s="256" t="s">
        <v>24</v>
      </c>
      <c r="B16" s="257"/>
      <c r="C16" s="257"/>
      <c r="D16" s="257"/>
      <c r="E16" s="257"/>
      <c r="F16" s="258"/>
    </row>
    <row r="17" spans="1:6" s="2" customFormat="1" x14ac:dyDescent="0.35">
      <c r="A17" s="19"/>
      <c r="B17" s="20" t="s">
        <v>6</v>
      </c>
      <c r="C17" s="21" t="s">
        <v>7</v>
      </c>
      <c r="D17" s="21" t="s">
        <v>9</v>
      </c>
      <c r="E17" s="21" t="s">
        <v>8</v>
      </c>
      <c r="F17" s="22" t="s">
        <v>12</v>
      </c>
    </row>
    <row r="18" spans="1:6" x14ac:dyDescent="0.35">
      <c r="A18" s="10"/>
      <c r="B18" s="13"/>
      <c r="C18" s="11"/>
      <c r="D18" s="11"/>
      <c r="E18" s="11"/>
      <c r="F18" s="12"/>
    </row>
    <row r="19" spans="1:6" s="2" customFormat="1" x14ac:dyDescent="0.35">
      <c r="A19" s="7"/>
      <c r="B19" s="23" t="s">
        <v>18</v>
      </c>
      <c r="C19" s="8" t="s">
        <v>19</v>
      </c>
      <c r="D19" s="8" t="s">
        <v>20</v>
      </c>
      <c r="E19" s="8" t="s">
        <v>21</v>
      </c>
      <c r="F19" s="9" t="s">
        <v>11</v>
      </c>
    </row>
    <row r="20" spans="1:6" x14ac:dyDescent="0.35">
      <c r="A20" s="10" t="s">
        <v>33</v>
      </c>
      <c r="B20" s="29">
        <f>'Variable Table'!B14</f>
        <v>1</v>
      </c>
      <c r="C20" s="32">
        <f>'CC 21-22'!C20+'LPC 21-22'!C20</f>
        <v>11765.769040310783</v>
      </c>
      <c r="D20" s="31">
        <f>B20*C20</f>
        <v>11765.769040310783</v>
      </c>
      <c r="E20" s="28">
        <f>'Variable Table'!C14</f>
        <v>996.06359999999995</v>
      </c>
      <c r="F20" s="55">
        <f>ROUND(D20*E20,0)</f>
        <v>11719454</v>
      </c>
    </row>
    <row r="21" spans="1:6" x14ac:dyDescent="0.35">
      <c r="A21" s="10" t="s">
        <v>17</v>
      </c>
      <c r="B21" s="29">
        <f>'Variable Table'!B15</f>
        <v>1</v>
      </c>
      <c r="C21" s="32">
        <f>'CC 21-22'!C21+'LPC 21-22'!C21</f>
        <v>705.03478982456386</v>
      </c>
      <c r="D21" s="31">
        <f>B21*C21</f>
        <v>705.03478982456386</v>
      </c>
      <c r="E21" s="28">
        <f>'Variable Table'!C15</f>
        <v>996.06359999999995</v>
      </c>
      <c r="F21" s="55">
        <f t="shared" ref="F21:F22" si="1">ROUND(D21*E21,0)</f>
        <v>702259</v>
      </c>
    </row>
    <row r="22" spans="1:6" x14ac:dyDescent="0.35">
      <c r="A22" s="10" t="s">
        <v>13</v>
      </c>
      <c r="B22" s="29">
        <f>'Variable Table'!B16</f>
        <v>1</v>
      </c>
      <c r="C22" s="32">
        <f>'CC 21-22'!C22+'LPC 21-22'!C22</f>
        <v>4535.6621558318702</v>
      </c>
      <c r="D22" s="31">
        <f>B22*C22</f>
        <v>4535.6621558318702</v>
      </c>
      <c r="E22" s="28">
        <f>'Variable Table'!C16</f>
        <v>996.06359999999995</v>
      </c>
      <c r="F22" s="55">
        <f t="shared" si="1"/>
        <v>4517808</v>
      </c>
    </row>
    <row r="23" spans="1:6" ht="15" thickBot="1" x14ac:dyDescent="0.4">
      <c r="A23" s="15"/>
      <c r="B23" s="17"/>
      <c r="C23" s="25"/>
      <c r="D23" s="17"/>
      <c r="E23" s="18" t="s">
        <v>27</v>
      </c>
      <c r="F23" s="56">
        <f>SUM(F20:F22)</f>
        <v>16939521</v>
      </c>
    </row>
    <row r="24" spans="1:6" ht="15" thickBot="1" x14ac:dyDescent="0.4">
      <c r="C24" s="5"/>
    </row>
    <row r="25" spans="1:6" ht="15" thickBot="1" x14ac:dyDescent="0.4">
      <c r="A25" s="244" t="s">
        <v>25</v>
      </c>
      <c r="B25" s="245"/>
      <c r="C25" s="245"/>
      <c r="D25" s="245"/>
      <c r="E25" s="245"/>
      <c r="F25" s="246"/>
    </row>
    <row r="26" spans="1:6" x14ac:dyDescent="0.35">
      <c r="A26" s="19"/>
      <c r="B26" s="20" t="s">
        <v>6</v>
      </c>
      <c r="C26" s="21" t="s">
        <v>7</v>
      </c>
      <c r="D26" s="21" t="s">
        <v>9</v>
      </c>
      <c r="E26" s="21" t="s">
        <v>8</v>
      </c>
      <c r="F26" s="22" t="s">
        <v>12</v>
      </c>
    </row>
    <row r="27" spans="1:6" x14ac:dyDescent="0.35">
      <c r="A27" s="10"/>
      <c r="B27" s="13"/>
      <c r="C27" s="11"/>
      <c r="D27" s="11"/>
      <c r="E27" s="11"/>
      <c r="F27" s="12"/>
    </row>
    <row r="28" spans="1:6" x14ac:dyDescent="0.35">
      <c r="A28" s="36" t="s">
        <v>65</v>
      </c>
      <c r="B28" s="23" t="s">
        <v>18</v>
      </c>
      <c r="C28" s="8" t="s">
        <v>19</v>
      </c>
      <c r="D28" s="8" t="s">
        <v>20</v>
      </c>
      <c r="E28" s="8" t="s">
        <v>21</v>
      </c>
      <c r="F28" s="9" t="s">
        <v>11</v>
      </c>
    </row>
    <row r="29" spans="1:6" x14ac:dyDescent="0.35">
      <c r="A29" s="10" t="s">
        <v>22</v>
      </c>
      <c r="B29" s="43">
        <f>'Variable Table'!B20</f>
        <v>4</v>
      </c>
      <c r="C29" s="32">
        <f>'CC 21-22'!C29+'LPC 21-22'!C29</f>
        <v>804.61185671629096</v>
      </c>
      <c r="D29" s="31">
        <f t="shared" ref="D29:D36" si="2">B29*C29</f>
        <v>3218.4474268651638</v>
      </c>
      <c r="E29" s="28">
        <f>'Variable Table'!C20</f>
        <v>587.34129999999993</v>
      </c>
      <c r="F29" s="54">
        <f>E29*D29</f>
        <v>1890327.09567664</v>
      </c>
    </row>
    <row r="30" spans="1:6" x14ac:dyDescent="0.35">
      <c r="A30" s="10" t="s">
        <v>66</v>
      </c>
      <c r="B30" s="43">
        <f>'Variable Table'!B21</f>
        <v>3</v>
      </c>
      <c r="C30" s="32">
        <f>'CC 21-22'!C30+'LPC 21-22'!C30</f>
        <v>772.66608222555169</v>
      </c>
      <c r="D30" s="31">
        <f t="shared" si="2"/>
        <v>2317.9982466766551</v>
      </c>
      <c r="E30" s="28">
        <f>'Variable Table'!C21</f>
        <v>587.34129999999993</v>
      </c>
      <c r="F30" s="54">
        <f t="shared" ref="F30:F36" si="3">E30*D30</f>
        <v>1361456.103600787</v>
      </c>
    </row>
    <row r="31" spans="1:6" x14ac:dyDescent="0.35">
      <c r="A31" s="10" t="s">
        <v>67</v>
      </c>
      <c r="B31" s="43">
        <f>'Variable Table'!B22</f>
        <v>3</v>
      </c>
      <c r="C31" s="32">
        <f>'CC 21-22'!C31+'LPC 21-22'!C31</f>
        <v>0</v>
      </c>
      <c r="D31" s="31">
        <f t="shared" si="2"/>
        <v>0</v>
      </c>
      <c r="E31" s="28">
        <f>'Variable Table'!C22</f>
        <v>587.34129999999993</v>
      </c>
      <c r="F31" s="54">
        <f t="shared" si="3"/>
        <v>0</v>
      </c>
    </row>
    <row r="32" spans="1:6" x14ac:dyDescent="0.35">
      <c r="A32" s="10" t="s">
        <v>68</v>
      </c>
      <c r="B32" s="43">
        <f>'Variable Table'!B23</f>
        <v>2</v>
      </c>
      <c r="C32" s="32">
        <f>'CC 21-22'!C32+'LPC 21-22'!C32</f>
        <v>209.17693689098581</v>
      </c>
      <c r="D32" s="31">
        <f t="shared" si="2"/>
        <v>418.35387378197163</v>
      </c>
      <c r="E32" s="28">
        <f>'Variable Table'!C23</f>
        <v>587.34129999999993</v>
      </c>
      <c r="F32" s="54">
        <f t="shared" si="3"/>
        <v>245716.50808713911</v>
      </c>
    </row>
    <row r="33" spans="1:6" x14ac:dyDescent="0.35">
      <c r="A33" s="10" t="s">
        <v>69</v>
      </c>
      <c r="B33" s="43">
        <f>'Variable Table'!B24</f>
        <v>2</v>
      </c>
      <c r="C33" s="32">
        <f>'CC 21-22'!C33+'LPC 21-22'!C33</f>
        <v>819.48799770474034</v>
      </c>
      <c r="D33" s="31">
        <f t="shared" si="2"/>
        <v>1638.9759954094807</v>
      </c>
      <c r="E33" s="28">
        <f>'Variable Table'!C24</f>
        <v>587.34129999999993</v>
      </c>
      <c r="F33" s="54">
        <f t="shared" si="3"/>
        <v>962638.29181259836</v>
      </c>
    </row>
    <row r="34" spans="1:6" x14ac:dyDescent="0.35">
      <c r="A34" s="10" t="s">
        <v>70</v>
      </c>
      <c r="B34" s="43">
        <f>'Variable Table'!B25</f>
        <v>1.5</v>
      </c>
      <c r="C34" s="32">
        <f>'CC 21-22'!C34+'LPC 21-22'!C34</f>
        <v>1263.4206382096977</v>
      </c>
      <c r="D34" s="31">
        <f t="shared" si="2"/>
        <v>1895.1309573145465</v>
      </c>
      <c r="E34" s="28">
        <f>'Variable Table'!C25</f>
        <v>587.34129999999993</v>
      </c>
      <c r="F34" s="54">
        <f t="shared" si="3"/>
        <v>1113088.6801393703</v>
      </c>
    </row>
    <row r="35" spans="1:6" x14ac:dyDescent="0.35">
      <c r="A35" s="10" t="s">
        <v>71</v>
      </c>
      <c r="B35" s="43">
        <f>'Variable Table'!B26</f>
        <v>1</v>
      </c>
      <c r="C35" s="32">
        <f>'CC 21-22'!C35+'LPC 21-22'!C35</f>
        <v>3574.7362364117439</v>
      </c>
      <c r="D35" s="31">
        <f t="shared" si="2"/>
        <v>3574.7362364117439</v>
      </c>
      <c r="E35" s="28">
        <f>'Variable Table'!C26</f>
        <v>587.34129999999993</v>
      </c>
      <c r="F35" s="54">
        <f t="shared" si="3"/>
        <v>2099590.2282511806</v>
      </c>
    </row>
    <row r="36" spans="1:6" x14ac:dyDescent="0.35">
      <c r="A36" s="10" t="s">
        <v>72</v>
      </c>
      <c r="B36" s="43">
        <f>'Variable Table'!B27</f>
        <v>1</v>
      </c>
      <c r="C36" s="32">
        <f>'CC 21-22'!C36+'LPC 21-22'!C36</f>
        <v>2857.7824816432358</v>
      </c>
      <c r="D36" s="31">
        <f t="shared" si="2"/>
        <v>2857.7824816432358</v>
      </c>
      <c r="E36" s="28">
        <f>'Variable Table'!C27</f>
        <v>587.34129999999993</v>
      </c>
      <c r="F36" s="54">
        <f t="shared" si="3"/>
        <v>1678493.677885564</v>
      </c>
    </row>
    <row r="37" spans="1:6" x14ac:dyDescent="0.35">
      <c r="A37" s="7" t="s">
        <v>23</v>
      </c>
      <c r="B37" s="34"/>
      <c r="C37" s="32"/>
      <c r="D37" s="31"/>
      <c r="E37" s="33"/>
      <c r="F37" s="70">
        <f>SUM(F29:F36)</f>
        <v>9351310.5854532793</v>
      </c>
    </row>
    <row r="38" spans="1:6" x14ac:dyDescent="0.35">
      <c r="A38" s="35"/>
      <c r="B38" s="34"/>
      <c r="C38" s="32"/>
      <c r="D38" s="31"/>
      <c r="E38" s="33"/>
      <c r="F38" s="12"/>
    </row>
    <row r="39" spans="1:6" x14ac:dyDescent="0.35">
      <c r="A39" s="36" t="s">
        <v>34</v>
      </c>
      <c r="B39" s="34"/>
      <c r="C39" s="32"/>
      <c r="D39" s="31"/>
      <c r="E39" s="33"/>
      <c r="F39" s="55"/>
    </row>
    <row r="40" spans="1:6" x14ac:dyDescent="0.35">
      <c r="A40" s="10" t="s">
        <v>22</v>
      </c>
      <c r="B40" s="43">
        <f>'Variable Table'!B30</f>
        <v>6</v>
      </c>
      <c r="C40" s="32">
        <f>'CC 21-22'!C40+'LPC 21-22'!C40</f>
        <v>350.16437672011648</v>
      </c>
      <c r="D40" s="31">
        <f t="shared" ref="D40:D47" si="4">B40*C40</f>
        <v>2100.9862603206989</v>
      </c>
      <c r="E40" s="28">
        <f>'Variable Table'!C30</f>
        <v>148.14869999999999</v>
      </c>
      <c r="F40" s="54">
        <f>E40*D40</f>
        <v>311258.38318437309</v>
      </c>
    </row>
    <row r="41" spans="1:6" x14ac:dyDescent="0.35">
      <c r="A41" s="10" t="s">
        <v>66</v>
      </c>
      <c r="B41" s="43">
        <f>'Variable Table'!B31</f>
        <v>4.5</v>
      </c>
      <c r="C41" s="32">
        <f>'CC 21-22'!C41+'LPC 21-22'!C41</f>
        <v>350.30022208762369</v>
      </c>
      <c r="D41" s="31">
        <f t="shared" si="4"/>
        <v>1576.3509993943067</v>
      </c>
      <c r="E41" s="28">
        <f>'Variable Table'!C31</f>
        <v>148.14869999999999</v>
      </c>
      <c r="F41" s="54">
        <f t="shared" ref="F41:F47" si="5">E41*D41</f>
        <v>233534.3513039673</v>
      </c>
    </row>
    <row r="42" spans="1:6" x14ac:dyDescent="0.35">
      <c r="A42" s="10" t="s">
        <v>67</v>
      </c>
      <c r="B42" s="43">
        <f>'Variable Table'!B32</f>
        <v>4.5</v>
      </c>
      <c r="C42" s="32">
        <f>'CC 21-22'!C42+'LPC 21-22'!C42</f>
        <v>0</v>
      </c>
      <c r="D42" s="31">
        <f t="shared" si="4"/>
        <v>0</v>
      </c>
      <c r="E42" s="28">
        <f>'Variable Table'!C32</f>
        <v>148.14869999999999</v>
      </c>
      <c r="F42" s="54">
        <f t="shared" si="5"/>
        <v>0</v>
      </c>
    </row>
    <row r="43" spans="1:6" x14ac:dyDescent="0.35">
      <c r="A43" s="10" t="s">
        <v>68</v>
      </c>
      <c r="B43" s="43">
        <f>'Variable Table'!B33</f>
        <v>3</v>
      </c>
      <c r="C43" s="32">
        <f>'CC 21-22'!C43+'LPC 21-22'!C43</f>
        <v>81.680363841159533</v>
      </c>
      <c r="D43" s="31">
        <f t="shared" si="4"/>
        <v>245.0410915234786</v>
      </c>
      <c r="E43" s="28">
        <f>'Variable Table'!C33</f>
        <v>148.14869999999999</v>
      </c>
      <c r="F43" s="54">
        <f t="shared" si="5"/>
        <v>36302.519155784372</v>
      </c>
    </row>
    <row r="44" spans="1:6" x14ac:dyDescent="0.35">
      <c r="A44" s="10" t="s">
        <v>69</v>
      </c>
      <c r="B44" s="43">
        <f>'Variable Table'!B34</f>
        <v>3</v>
      </c>
      <c r="C44" s="32">
        <f>'CC 21-22'!C44+'LPC 21-22'!C44</f>
        <v>210.44634299255102</v>
      </c>
      <c r="D44" s="31">
        <f t="shared" si="4"/>
        <v>631.33902897765302</v>
      </c>
      <c r="E44" s="28">
        <f>'Variable Table'!C34</f>
        <v>148.14869999999999</v>
      </c>
      <c r="F44" s="54">
        <f t="shared" si="5"/>
        <v>93532.05640230162</v>
      </c>
    </row>
    <row r="45" spans="1:6" x14ac:dyDescent="0.35">
      <c r="A45" s="10" t="s">
        <v>70</v>
      </c>
      <c r="B45" s="43">
        <f>'Variable Table'!B35</f>
        <v>2.25</v>
      </c>
      <c r="C45" s="32">
        <f>'CC 21-22'!C45+'LPC 21-22'!C45</f>
        <v>449.45147544816007</v>
      </c>
      <c r="D45" s="31">
        <f t="shared" si="4"/>
        <v>1011.2658197583602</v>
      </c>
      <c r="E45" s="28">
        <f>'Variable Table'!C35</f>
        <v>148.14869999999999</v>
      </c>
      <c r="F45" s="54">
        <f t="shared" si="5"/>
        <v>149817.71655163536</v>
      </c>
    </row>
    <row r="46" spans="1:6" x14ac:dyDescent="0.35">
      <c r="A46" s="10" t="s">
        <v>71</v>
      </c>
      <c r="B46" s="43">
        <f>'Variable Table'!B36</f>
        <v>1.5</v>
      </c>
      <c r="C46" s="32">
        <f>'CC 21-22'!C46+'LPC 21-22'!C46</f>
        <v>899.72144473843605</v>
      </c>
      <c r="D46" s="31">
        <f t="shared" si="4"/>
        <v>1349.5821671076542</v>
      </c>
      <c r="E46" s="28">
        <f>'Variable Table'!C36</f>
        <v>148.14869999999999</v>
      </c>
      <c r="F46" s="54">
        <f t="shared" si="5"/>
        <v>199938.84360018172</v>
      </c>
    </row>
    <row r="47" spans="1:6" x14ac:dyDescent="0.35">
      <c r="A47" s="10" t="s">
        <v>72</v>
      </c>
      <c r="B47" s="43">
        <f>'Variable Table'!B37</f>
        <v>1.5</v>
      </c>
      <c r="C47" s="32">
        <f>'CC 21-22'!C47+'LPC 21-22'!C47</f>
        <v>581.97202120989937</v>
      </c>
      <c r="D47" s="31">
        <f t="shared" si="4"/>
        <v>872.95803181484905</v>
      </c>
      <c r="E47" s="28">
        <f>'Variable Table'!C37</f>
        <v>148.14869999999999</v>
      </c>
      <c r="F47" s="54">
        <f t="shared" si="5"/>
        <v>129327.59756792852</v>
      </c>
    </row>
    <row r="48" spans="1:6" x14ac:dyDescent="0.35">
      <c r="A48" s="7" t="s">
        <v>23</v>
      </c>
      <c r="B48" s="34"/>
      <c r="C48" s="32"/>
      <c r="D48" s="31"/>
      <c r="E48" s="33"/>
      <c r="F48" s="70">
        <f>SUM(F40:F47)</f>
        <v>1153711.467766172</v>
      </c>
    </row>
    <row r="49" spans="1:6" x14ac:dyDescent="0.35">
      <c r="A49" s="35"/>
      <c r="B49" s="34"/>
      <c r="C49" s="32"/>
      <c r="D49" s="31"/>
      <c r="E49" s="33"/>
      <c r="F49" s="12"/>
    </row>
    <row r="50" spans="1:6" x14ac:dyDescent="0.35">
      <c r="A50" s="36" t="s">
        <v>79</v>
      </c>
      <c r="B50" s="34"/>
      <c r="C50" s="32"/>
      <c r="D50" s="31"/>
      <c r="E50" s="33"/>
      <c r="F50" s="12"/>
    </row>
    <row r="51" spans="1:6" x14ac:dyDescent="0.35">
      <c r="A51" s="10" t="s">
        <v>22</v>
      </c>
      <c r="B51" s="34">
        <f>'Variable Table'!B40</f>
        <v>4</v>
      </c>
      <c r="C51" s="32">
        <f>'CC 21-22'!C51+'LPC 21-22'!C51</f>
        <v>502.56905437427611</v>
      </c>
      <c r="D51" s="31">
        <f t="shared" ref="D51:D58" si="6">B51*C51</f>
        <v>2010.2762174971044</v>
      </c>
      <c r="E51" s="28">
        <f>'Variable Table'!C40</f>
        <v>148.14869999999999</v>
      </c>
      <c r="F51" s="54">
        <f>E51*D51</f>
        <v>297819.80826311326</v>
      </c>
    </row>
    <row r="52" spans="1:6" x14ac:dyDescent="0.35">
      <c r="A52" s="10" t="s">
        <v>66</v>
      </c>
      <c r="B52" s="34">
        <f>'Variable Table'!B41</f>
        <v>3</v>
      </c>
      <c r="C52" s="32">
        <f>'CC 21-22'!C52+'LPC 21-22'!C52</f>
        <v>505.72088154972533</v>
      </c>
      <c r="D52" s="31">
        <f t="shared" si="6"/>
        <v>1517.1626446491759</v>
      </c>
      <c r="E52" s="28">
        <f>'Variable Table'!C41</f>
        <v>148.14869999999999</v>
      </c>
      <c r="F52" s="54">
        <f t="shared" ref="F52:F58" si="7">E52*D52</f>
        <v>224765.67349333735</v>
      </c>
    </row>
    <row r="53" spans="1:6" x14ac:dyDescent="0.35">
      <c r="A53" s="10" t="s">
        <v>67</v>
      </c>
      <c r="B53" s="34">
        <f>'Variable Table'!B42</f>
        <v>3</v>
      </c>
      <c r="C53" s="32">
        <f>'CC 21-22'!C53+'LPC 21-22'!C53</f>
        <v>0</v>
      </c>
      <c r="D53" s="31">
        <f t="shared" si="6"/>
        <v>0</v>
      </c>
      <c r="E53" s="28">
        <f>'Variable Table'!C42</f>
        <v>148.14869999999999</v>
      </c>
      <c r="F53" s="54">
        <f t="shared" si="7"/>
        <v>0</v>
      </c>
    </row>
    <row r="54" spans="1:6" x14ac:dyDescent="0.35">
      <c r="A54" s="10" t="s">
        <v>68</v>
      </c>
      <c r="B54" s="34">
        <f>'Variable Table'!B43</f>
        <v>2</v>
      </c>
      <c r="C54" s="32">
        <f>'CC 21-22'!C54+'LPC 21-22'!C54</f>
        <v>120.21917604429001</v>
      </c>
      <c r="D54" s="31">
        <f t="shared" si="6"/>
        <v>240.43835208858002</v>
      </c>
      <c r="E54" s="28">
        <f>'Variable Table'!C43</f>
        <v>148.14869999999999</v>
      </c>
      <c r="F54" s="54">
        <f t="shared" si="7"/>
        <v>35620.629292065416</v>
      </c>
    </row>
    <row r="55" spans="1:6" x14ac:dyDescent="0.35">
      <c r="A55" s="10" t="s">
        <v>69</v>
      </c>
      <c r="B55" s="34">
        <f>'Variable Table'!B44</f>
        <v>2</v>
      </c>
      <c r="C55" s="32">
        <f>'CC 21-22'!C55+'LPC 21-22'!C55</f>
        <v>339.20832669195704</v>
      </c>
      <c r="D55" s="31">
        <f t="shared" si="6"/>
        <v>678.41665338391408</v>
      </c>
      <c r="E55" s="28">
        <f>'Variable Table'!C44</f>
        <v>148.14869999999999</v>
      </c>
      <c r="F55" s="54">
        <f t="shared" si="7"/>
        <v>100506.54525717747</v>
      </c>
    </row>
    <row r="56" spans="1:6" x14ac:dyDescent="0.35">
      <c r="A56" s="10" t="s">
        <v>70</v>
      </c>
      <c r="B56" s="34">
        <f>'Variable Table'!B45</f>
        <v>1.5</v>
      </c>
      <c r="C56" s="32">
        <f>'CC 21-22'!C56+'LPC 21-22'!C56</f>
        <v>675.53252149149375</v>
      </c>
      <c r="D56" s="31"/>
      <c r="E56" s="28">
        <f>'Variable Table'!C45</f>
        <v>148.14869999999999</v>
      </c>
      <c r="F56" s="54"/>
    </row>
    <row r="57" spans="1:6" x14ac:dyDescent="0.35">
      <c r="A57" s="10" t="s">
        <v>71</v>
      </c>
      <c r="B57" s="34">
        <f>'Variable Table'!B46</f>
        <v>1</v>
      </c>
      <c r="C57" s="32">
        <f>'CC 21-22'!C57+'LPC 21-22'!C57</f>
        <v>1377.1489474746829</v>
      </c>
      <c r="D57" s="31">
        <f t="shared" si="6"/>
        <v>1377.1489474746829</v>
      </c>
      <c r="E57" s="28">
        <f>'Variable Table'!C46</f>
        <v>148.14869999999999</v>
      </c>
      <c r="F57" s="54">
        <f t="shared" si="7"/>
        <v>204022.82627474255</v>
      </c>
    </row>
    <row r="58" spans="1:6" x14ac:dyDescent="0.35">
      <c r="A58" s="10" t="s">
        <v>72</v>
      </c>
      <c r="B58" s="34">
        <f>'Variable Table'!B47</f>
        <v>1</v>
      </c>
      <c r="C58" s="32">
        <f>'CC 21-22'!C58+'LPC 21-22'!C58</f>
        <v>1127.1358241151031</v>
      </c>
      <c r="D58" s="31">
        <f t="shared" si="6"/>
        <v>1127.1358241151031</v>
      </c>
      <c r="E58" s="28">
        <f>'Variable Table'!C47</f>
        <v>148.14869999999999</v>
      </c>
      <c r="F58" s="54">
        <f t="shared" si="7"/>
        <v>166983.70706608117</v>
      </c>
    </row>
    <row r="59" spans="1:6" x14ac:dyDescent="0.35">
      <c r="A59" s="7" t="s">
        <v>23</v>
      </c>
      <c r="B59" s="34"/>
      <c r="C59" s="32"/>
      <c r="D59" s="31"/>
      <c r="E59" s="33"/>
      <c r="F59" s="70">
        <f>SUM(F51:F58)</f>
        <v>1029719.1896465172</v>
      </c>
    </row>
    <row r="60" spans="1:6" ht="15" thickBot="1" x14ac:dyDescent="0.4">
      <c r="A60" s="15"/>
      <c r="B60" s="17"/>
      <c r="C60" s="25"/>
      <c r="D60" s="17"/>
      <c r="E60" s="18" t="s">
        <v>28</v>
      </c>
      <c r="F60" s="56">
        <f>F37+F48+F59</f>
        <v>11534741.242865968</v>
      </c>
    </row>
    <row r="62" spans="1:6" x14ac:dyDescent="0.35">
      <c r="E62" s="3" t="s">
        <v>14</v>
      </c>
      <c r="F62" s="53">
        <f>F14+F23+F60</f>
        <v>108958363.72206597</v>
      </c>
    </row>
    <row r="63" spans="1:6" x14ac:dyDescent="0.35">
      <c r="E63" s="3" t="s">
        <v>138</v>
      </c>
      <c r="F63" s="53">
        <f>114203408*(1+'Variable Table'!G5)</f>
        <v>119993520.78559999</v>
      </c>
    </row>
    <row r="64" spans="1:6" x14ac:dyDescent="0.35">
      <c r="E64" s="3" t="s">
        <v>15</v>
      </c>
      <c r="F64" s="53">
        <f>F62-F63</f>
        <v>-11035157.063534021</v>
      </c>
    </row>
    <row r="65" spans="5:6" x14ac:dyDescent="0.35">
      <c r="E65" s="3" t="s">
        <v>31</v>
      </c>
      <c r="F65" s="53">
        <f>IF(F64&lt;0,-F64,0)</f>
        <v>11035157.063534021</v>
      </c>
    </row>
    <row r="66" spans="5:6" x14ac:dyDescent="0.35">
      <c r="E66" s="3" t="s">
        <v>32</v>
      </c>
      <c r="F66" s="53">
        <f>F64+F65</f>
        <v>0</v>
      </c>
    </row>
    <row r="68" spans="5:6" x14ac:dyDescent="0.35">
      <c r="E68" s="4"/>
    </row>
  </sheetData>
  <mergeCells count="5">
    <mergeCell ref="A1:F1"/>
    <mergeCell ref="A2:F2"/>
    <mergeCell ref="A4:F4"/>
    <mergeCell ref="A16:F16"/>
    <mergeCell ref="A25:F25"/>
  </mergeCells>
  <pageMargins left="0.45" right="0.45" top="0.5" bottom="0.5" header="0.3" footer="0.3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2"/>
  <sheetViews>
    <sheetView workbookViewId="0"/>
  </sheetViews>
  <sheetFormatPr defaultRowHeight="14.5" x14ac:dyDescent="0.35"/>
  <cols>
    <col min="1" max="1" width="30" bestFit="1" customWidth="1"/>
    <col min="2" max="2" width="17" customWidth="1"/>
    <col min="3" max="3" width="17.81640625" bestFit="1" customWidth="1"/>
    <col min="4" max="4" width="1.453125" customWidth="1"/>
    <col min="5" max="5" width="30" bestFit="1" customWidth="1"/>
    <col min="6" max="6" width="16.08984375" customWidth="1"/>
    <col min="7" max="7" width="16.453125" bestFit="1" customWidth="1"/>
    <col min="8" max="8" width="1.54296875" customWidth="1"/>
    <col min="9" max="9" width="30" bestFit="1" customWidth="1"/>
    <col min="10" max="10" width="13.453125" bestFit="1" customWidth="1"/>
    <col min="11" max="11" width="16.453125" bestFit="1" customWidth="1"/>
    <col min="12" max="12" width="1.1796875" customWidth="1"/>
    <col min="13" max="13" width="30" bestFit="1" customWidth="1"/>
    <col min="14" max="14" width="13.453125" bestFit="1" customWidth="1"/>
    <col min="15" max="15" width="16.453125" bestFit="1" customWidth="1"/>
  </cols>
  <sheetData>
    <row r="1" spans="1:15" x14ac:dyDescent="0.35">
      <c r="A1" s="49" t="s">
        <v>42</v>
      </c>
    </row>
    <row r="2" spans="1:15" x14ac:dyDescent="0.35">
      <c r="A2" s="49"/>
    </row>
    <row r="3" spans="1:15" x14ac:dyDescent="0.35">
      <c r="A3" s="60" t="s">
        <v>75</v>
      </c>
      <c r="B3" s="60" t="s">
        <v>81</v>
      </c>
      <c r="E3" s="60" t="s">
        <v>75</v>
      </c>
      <c r="F3" s="60" t="s">
        <v>81</v>
      </c>
    </row>
    <row r="4" spans="1:15" x14ac:dyDescent="0.35">
      <c r="A4" s="239">
        <v>0.65</v>
      </c>
      <c r="B4" s="239">
        <v>0.35</v>
      </c>
      <c r="E4" s="241">
        <f>'District Summary 21-22'!H3</f>
        <v>0.59731720181660275</v>
      </c>
      <c r="F4" s="241">
        <f>'District Summary 21-22'!H4</f>
        <v>0.40268279818339731</v>
      </c>
    </row>
    <row r="6" spans="1:15" ht="15.5" x14ac:dyDescent="0.35">
      <c r="A6" s="259" t="s">
        <v>89</v>
      </c>
      <c r="B6" s="259"/>
      <c r="C6" s="259"/>
      <c r="E6" s="259" t="s">
        <v>90</v>
      </c>
      <c r="F6" s="259"/>
      <c r="G6" s="259"/>
      <c r="I6" s="259" t="s">
        <v>50</v>
      </c>
      <c r="J6" s="259"/>
      <c r="K6" s="259"/>
      <c r="M6" s="259" t="s">
        <v>135</v>
      </c>
      <c r="N6" s="259"/>
      <c r="O6" s="259"/>
    </row>
    <row r="7" spans="1:15" x14ac:dyDescent="0.35">
      <c r="A7" s="60" t="s">
        <v>65</v>
      </c>
      <c r="B7" s="60" t="s">
        <v>75</v>
      </c>
      <c r="C7" s="60" t="s">
        <v>81</v>
      </c>
      <c r="E7" s="60" t="s">
        <v>65</v>
      </c>
      <c r="F7" s="60" t="s">
        <v>75</v>
      </c>
      <c r="G7" s="60" t="s">
        <v>81</v>
      </c>
      <c r="I7" s="60" t="s">
        <v>65</v>
      </c>
      <c r="J7" s="60" t="s">
        <v>75</v>
      </c>
      <c r="K7" s="60" t="s">
        <v>81</v>
      </c>
      <c r="M7" s="60" t="s">
        <v>65</v>
      </c>
      <c r="N7" s="60" t="s">
        <v>75</v>
      </c>
      <c r="O7" s="60" t="s">
        <v>81</v>
      </c>
    </row>
    <row r="8" spans="1:15" x14ac:dyDescent="0.35">
      <c r="A8" s="57" t="s">
        <v>22</v>
      </c>
      <c r="B8" s="81">
        <f>B45*$A$4</f>
        <v>473.2</v>
      </c>
      <c r="C8" s="81">
        <f>B45*$B$4</f>
        <v>254.79999999999998</v>
      </c>
      <c r="E8" s="57" t="s">
        <v>22</v>
      </c>
      <c r="F8" s="81">
        <f>F45*$A$4</f>
        <v>551.20000000000005</v>
      </c>
      <c r="G8" s="81">
        <f>F45*$B$4</f>
        <v>296.79999999999995</v>
      </c>
      <c r="I8" s="57" t="s">
        <v>22</v>
      </c>
      <c r="J8" s="81">
        <f>J45*$A$4</f>
        <v>544.59312059676756</v>
      </c>
      <c r="K8" s="81">
        <f>J45*$B$4</f>
        <v>293.24244955210554</v>
      </c>
      <c r="M8" s="57" t="s">
        <v>22</v>
      </c>
      <c r="N8" s="81">
        <f>AVERAGE(J8,F8,B8)</f>
        <v>522.99770686558918</v>
      </c>
      <c r="O8" s="81">
        <f>AVERAGE(K8,G8,C8)</f>
        <v>281.61414985070184</v>
      </c>
    </row>
    <row r="9" spans="1:15" x14ac:dyDescent="0.35">
      <c r="A9" s="57" t="s">
        <v>66</v>
      </c>
      <c r="B9" s="81">
        <f t="shared" ref="B9:B35" si="0">B46*$A$4</f>
        <v>536.25</v>
      </c>
      <c r="C9" s="81">
        <f t="shared" ref="C9:C35" si="1">B46*$B$4</f>
        <v>288.75</v>
      </c>
      <c r="E9" s="57" t="s">
        <v>66</v>
      </c>
      <c r="F9" s="81">
        <f t="shared" ref="F9:F35" si="2">F46*$A$4</f>
        <v>488.15000000000003</v>
      </c>
      <c r="G9" s="81">
        <f t="shared" ref="G9:G35" si="3">F46*$B$4</f>
        <v>262.84999999999997</v>
      </c>
      <c r="I9" s="57" t="s">
        <v>66</v>
      </c>
      <c r="J9" s="81">
        <f t="shared" ref="J9:J15" si="4">J46*$A$4</f>
        <v>482.29886033982598</v>
      </c>
      <c r="K9" s="81">
        <f t="shared" ref="K9:K15" si="5">J46*$B$4</f>
        <v>259.69938633682932</v>
      </c>
      <c r="M9" s="57" t="s">
        <v>66</v>
      </c>
      <c r="N9" s="81">
        <f t="shared" ref="N9:N35" si="6">AVERAGE(J9,F9,B9)</f>
        <v>502.23295344660869</v>
      </c>
      <c r="O9" s="81">
        <f t="shared" ref="O9:O35" si="7">AVERAGE(K9,G9,C9)</f>
        <v>270.43312877894306</v>
      </c>
    </row>
    <row r="10" spans="1:15" x14ac:dyDescent="0.35">
      <c r="A10" s="57" t="s">
        <v>67</v>
      </c>
      <c r="B10" s="81">
        <f t="shared" si="0"/>
        <v>0</v>
      </c>
      <c r="C10" s="81">
        <f t="shared" si="1"/>
        <v>0</v>
      </c>
      <c r="E10" s="57" t="s">
        <v>67</v>
      </c>
      <c r="F10" s="81">
        <f t="shared" si="2"/>
        <v>0</v>
      </c>
      <c r="G10" s="81">
        <f t="shared" si="3"/>
        <v>0</v>
      </c>
      <c r="I10" s="57" t="s">
        <v>67</v>
      </c>
      <c r="J10" s="81">
        <f t="shared" si="4"/>
        <v>0</v>
      </c>
      <c r="K10" s="81">
        <f t="shared" si="5"/>
        <v>0</v>
      </c>
      <c r="M10" s="57" t="s">
        <v>67</v>
      </c>
      <c r="N10" s="81">
        <f t="shared" si="6"/>
        <v>0</v>
      </c>
      <c r="O10" s="81">
        <f t="shared" si="7"/>
        <v>0</v>
      </c>
    </row>
    <row r="11" spans="1:15" x14ac:dyDescent="0.35">
      <c r="A11" s="57" t="s">
        <v>68</v>
      </c>
      <c r="B11" s="81">
        <f t="shared" si="0"/>
        <v>141.70000000000002</v>
      </c>
      <c r="C11" s="81">
        <f t="shared" si="1"/>
        <v>76.3</v>
      </c>
      <c r="E11" s="57" t="s">
        <v>68</v>
      </c>
      <c r="F11" s="81">
        <f t="shared" si="2"/>
        <v>133.9</v>
      </c>
      <c r="G11" s="81">
        <f t="shared" si="3"/>
        <v>72.099999999999994</v>
      </c>
      <c r="I11" s="57" t="s">
        <v>68</v>
      </c>
      <c r="J11" s="81">
        <f t="shared" si="4"/>
        <v>132.29502693742231</v>
      </c>
      <c r="K11" s="81">
        <f t="shared" si="5"/>
        <v>71.23578373553508</v>
      </c>
      <c r="M11" s="57" t="s">
        <v>68</v>
      </c>
      <c r="N11" s="81">
        <f t="shared" si="6"/>
        <v>135.96500897914078</v>
      </c>
      <c r="O11" s="81">
        <f t="shared" si="7"/>
        <v>73.211927911845024</v>
      </c>
    </row>
    <row r="12" spans="1:15" x14ac:dyDescent="0.35">
      <c r="A12" s="57" t="s">
        <v>69</v>
      </c>
      <c r="B12" s="81">
        <f t="shared" si="0"/>
        <v>462.15000000000003</v>
      </c>
      <c r="C12" s="81">
        <f t="shared" si="1"/>
        <v>248.85</v>
      </c>
      <c r="E12" s="57" t="s">
        <v>69</v>
      </c>
      <c r="F12" s="81">
        <f t="shared" si="2"/>
        <v>571.35</v>
      </c>
      <c r="G12" s="81">
        <f t="shared" si="3"/>
        <v>307.64999999999998</v>
      </c>
      <c r="I12" s="57" t="s">
        <v>69</v>
      </c>
      <c r="J12" s="81">
        <f t="shared" si="4"/>
        <v>564.50159552424373</v>
      </c>
      <c r="K12" s="81">
        <f t="shared" si="5"/>
        <v>303.9623975899774</v>
      </c>
      <c r="M12" s="57" t="s">
        <v>69</v>
      </c>
      <c r="N12" s="81">
        <f t="shared" si="6"/>
        <v>532.66719850808124</v>
      </c>
      <c r="O12" s="81">
        <f t="shared" si="7"/>
        <v>286.82079919665915</v>
      </c>
    </row>
    <row r="13" spans="1:15" x14ac:dyDescent="0.35">
      <c r="A13" s="57" t="s">
        <v>70</v>
      </c>
      <c r="B13" s="81">
        <f t="shared" si="0"/>
        <v>767</v>
      </c>
      <c r="C13" s="81">
        <f t="shared" si="1"/>
        <v>413</v>
      </c>
      <c r="E13" s="57" t="s">
        <v>70</v>
      </c>
      <c r="F13" s="81">
        <f t="shared" si="2"/>
        <v>853.45</v>
      </c>
      <c r="G13" s="81">
        <f t="shared" si="3"/>
        <v>459.54999999999995</v>
      </c>
      <c r="I13" s="57" t="s">
        <v>70</v>
      </c>
      <c r="J13" s="81">
        <f t="shared" si="4"/>
        <v>843.22024450891013</v>
      </c>
      <c r="K13" s="81">
        <f t="shared" si="5"/>
        <v>454.04167012018229</v>
      </c>
      <c r="M13" s="57" t="s">
        <v>70</v>
      </c>
      <c r="N13" s="81">
        <f t="shared" si="6"/>
        <v>821.2234148363035</v>
      </c>
      <c r="O13" s="81">
        <f t="shared" si="7"/>
        <v>442.19722337339408</v>
      </c>
    </row>
    <row r="14" spans="1:15" x14ac:dyDescent="0.35">
      <c r="A14" s="57" t="s">
        <v>71</v>
      </c>
      <c r="B14" s="81">
        <f t="shared" si="0"/>
        <v>2357.5500000000002</v>
      </c>
      <c r="C14" s="81">
        <f t="shared" si="1"/>
        <v>1269.4499999999998</v>
      </c>
      <c r="E14" s="57" t="s">
        <v>71</v>
      </c>
      <c r="F14" s="81">
        <f t="shared" si="2"/>
        <v>2320.5</v>
      </c>
      <c r="G14" s="81">
        <f t="shared" si="3"/>
        <v>1249.5</v>
      </c>
      <c r="I14" s="57" t="s">
        <v>71</v>
      </c>
      <c r="J14" s="81">
        <f t="shared" si="4"/>
        <v>2292.6856610029013</v>
      </c>
      <c r="K14" s="81">
        <f t="shared" si="5"/>
        <v>1234.5230482323313</v>
      </c>
      <c r="M14" s="57" t="s">
        <v>71</v>
      </c>
      <c r="N14" s="81">
        <f t="shared" si="6"/>
        <v>2323.5785536676335</v>
      </c>
      <c r="O14" s="81">
        <f t="shared" si="7"/>
        <v>1251.1576827441104</v>
      </c>
    </row>
    <row r="15" spans="1:15" x14ac:dyDescent="0.35">
      <c r="A15" s="57" t="s">
        <v>72</v>
      </c>
      <c r="B15" s="81">
        <f t="shared" si="0"/>
        <v>1836.9</v>
      </c>
      <c r="C15" s="81">
        <f t="shared" si="1"/>
        <v>989.09999999999991</v>
      </c>
      <c r="E15" s="57" t="s">
        <v>72</v>
      </c>
      <c r="F15" s="81">
        <f t="shared" si="2"/>
        <v>1879.15</v>
      </c>
      <c r="G15" s="81">
        <f t="shared" si="3"/>
        <v>1011.8499999999999</v>
      </c>
      <c r="I15" s="57" t="s">
        <v>72</v>
      </c>
      <c r="J15" s="81">
        <f t="shared" si="4"/>
        <v>1856.6258392043101</v>
      </c>
      <c r="K15" s="81">
        <f t="shared" si="5"/>
        <v>999.72160572539769</v>
      </c>
      <c r="M15" s="57" t="s">
        <v>72</v>
      </c>
      <c r="N15" s="81">
        <f t="shared" si="6"/>
        <v>1857.5586130681033</v>
      </c>
      <c r="O15" s="81">
        <f t="shared" si="7"/>
        <v>1000.2238685751325</v>
      </c>
    </row>
    <row r="16" spans="1:15" x14ac:dyDescent="0.35">
      <c r="A16" s="57"/>
      <c r="B16" s="81"/>
      <c r="C16" s="81"/>
      <c r="E16" s="57"/>
      <c r="F16" s="81"/>
      <c r="G16" s="81"/>
      <c r="I16" s="57"/>
      <c r="J16" s="81"/>
      <c r="K16" s="81"/>
      <c r="M16" s="57"/>
      <c r="N16" s="81"/>
      <c r="O16" s="81"/>
    </row>
    <row r="17" spans="1:15" x14ac:dyDescent="0.35">
      <c r="A17" s="60" t="s">
        <v>73</v>
      </c>
      <c r="B17" s="81"/>
      <c r="C17" s="81"/>
      <c r="E17" s="60" t="s">
        <v>73</v>
      </c>
      <c r="F17" s="81"/>
      <c r="G17" s="81"/>
      <c r="I17" s="60" t="s">
        <v>73</v>
      </c>
      <c r="J17" s="81"/>
      <c r="K17" s="81"/>
      <c r="M17" s="60" t="s">
        <v>73</v>
      </c>
      <c r="N17" s="81"/>
      <c r="O17" s="81"/>
    </row>
    <row r="18" spans="1:15" x14ac:dyDescent="0.35">
      <c r="A18" s="57" t="s">
        <v>22</v>
      </c>
      <c r="B18" s="81">
        <f t="shared" si="0"/>
        <v>196.95000000000002</v>
      </c>
      <c r="C18" s="81">
        <f t="shared" si="1"/>
        <v>106.05</v>
      </c>
      <c r="E18" s="57" t="s">
        <v>22</v>
      </c>
      <c r="F18" s="81">
        <f t="shared" si="2"/>
        <v>244.4</v>
      </c>
      <c r="G18" s="81">
        <f t="shared" si="3"/>
        <v>131.6</v>
      </c>
      <c r="I18" s="57" t="s">
        <v>22</v>
      </c>
      <c r="J18" s="81">
        <f>J55*$A$4</f>
        <v>241.47053460422711</v>
      </c>
      <c r="K18" s="81">
        <f t="shared" ref="K18:K25" si="8">J55*$B$4</f>
        <v>130.02259555612227</v>
      </c>
      <c r="M18" s="57" t="s">
        <v>22</v>
      </c>
      <c r="N18" s="81">
        <f t="shared" si="6"/>
        <v>227.60684486807574</v>
      </c>
      <c r="O18" s="81">
        <f t="shared" si="7"/>
        <v>122.55753185204077</v>
      </c>
    </row>
    <row r="19" spans="1:15" x14ac:dyDescent="0.35">
      <c r="A19" s="57" t="s">
        <v>66</v>
      </c>
      <c r="B19" s="81">
        <f t="shared" si="0"/>
        <v>241.15</v>
      </c>
      <c r="C19" s="81">
        <f t="shared" si="1"/>
        <v>129.85</v>
      </c>
      <c r="E19" s="57" t="s">
        <v>66</v>
      </c>
      <c r="F19" s="81">
        <f t="shared" si="2"/>
        <v>222.3</v>
      </c>
      <c r="G19" s="81">
        <f t="shared" si="3"/>
        <v>119.69999999999999</v>
      </c>
      <c r="I19" s="57" t="s">
        <v>66</v>
      </c>
      <c r="J19" s="81">
        <f t="shared" ref="J19:J25" si="9">J56*$A$4</f>
        <v>219.63543307086618</v>
      </c>
      <c r="K19" s="81">
        <f t="shared" si="8"/>
        <v>118.26523319200486</v>
      </c>
      <c r="M19" s="57" t="s">
        <v>66</v>
      </c>
      <c r="N19" s="81">
        <f t="shared" si="6"/>
        <v>227.69514435695541</v>
      </c>
      <c r="O19" s="81">
        <f t="shared" si="7"/>
        <v>122.60507773066827</v>
      </c>
    </row>
    <row r="20" spans="1:15" x14ac:dyDescent="0.35">
      <c r="A20" s="57" t="s">
        <v>67</v>
      </c>
      <c r="B20" s="81">
        <f t="shared" si="0"/>
        <v>0</v>
      </c>
      <c r="C20" s="81">
        <f t="shared" si="1"/>
        <v>0</v>
      </c>
      <c r="E20" s="57" t="s">
        <v>67</v>
      </c>
      <c r="F20" s="81">
        <f t="shared" si="2"/>
        <v>0</v>
      </c>
      <c r="G20" s="81">
        <f t="shared" si="3"/>
        <v>0</v>
      </c>
      <c r="I20" s="57" t="s">
        <v>67</v>
      </c>
      <c r="J20" s="81">
        <f t="shared" si="9"/>
        <v>0</v>
      </c>
      <c r="K20" s="81">
        <f t="shared" si="8"/>
        <v>0</v>
      </c>
      <c r="M20" s="57" t="s">
        <v>67</v>
      </c>
      <c r="N20" s="81">
        <f t="shared" si="6"/>
        <v>0</v>
      </c>
      <c r="O20" s="81">
        <f t="shared" si="7"/>
        <v>0</v>
      </c>
    </row>
    <row r="21" spans="1:15" x14ac:dyDescent="0.35">
      <c r="A21" s="57" t="s">
        <v>68</v>
      </c>
      <c r="B21" s="81">
        <f t="shared" si="0"/>
        <v>55.9</v>
      </c>
      <c r="C21" s="81">
        <f t="shared" si="1"/>
        <v>30.099999999999998</v>
      </c>
      <c r="E21" s="57" t="s">
        <v>68</v>
      </c>
      <c r="F21" s="81">
        <f t="shared" si="2"/>
        <v>52</v>
      </c>
      <c r="G21" s="81">
        <f t="shared" si="3"/>
        <v>28</v>
      </c>
      <c r="I21" s="57" t="s">
        <v>68</v>
      </c>
      <c r="J21" s="81">
        <f t="shared" si="9"/>
        <v>51.376709490261092</v>
      </c>
      <c r="K21" s="81">
        <f t="shared" si="8"/>
        <v>27.664382033217507</v>
      </c>
      <c r="M21" s="57" t="s">
        <v>68</v>
      </c>
      <c r="N21" s="81">
        <f t="shared" si="6"/>
        <v>53.092236496753692</v>
      </c>
      <c r="O21" s="81">
        <f t="shared" si="7"/>
        <v>28.588127344405834</v>
      </c>
    </row>
    <row r="22" spans="1:15" x14ac:dyDescent="0.35">
      <c r="A22" s="57" t="s">
        <v>69</v>
      </c>
      <c r="B22" s="81">
        <f t="shared" si="0"/>
        <v>123.5</v>
      </c>
      <c r="C22" s="81">
        <f t="shared" si="1"/>
        <v>66.5</v>
      </c>
      <c r="E22" s="57" t="s">
        <v>69</v>
      </c>
      <c r="F22" s="81">
        <f t="shared" si="2"/>
        <v>144.30000000000001</v>
      </c>
      <c r="G22" s="81">
        <f t="shared" si="3"/>
        <v>77.699999999999989</v>
      </c>
      <c r="I22" s="57" t="s">
        <v>69</v>
      </c>
      <c r="J22" s="81">
        <f t="shared" si="9"/>
        <v>142.57036883547451</v>
      </c>
      <c r="K22" s="81">
        <f t="shared" si="8"/>
        <v>76.768660142178575</v>
      </c>
      <c r="M22" s="57" t="s">
        <v>69</v>
      </c>
      <c r="N22" s="81">
        <f t="shared" si="6"/>
        <v>136.79012294515817</v>
      </c>
      <c r="O22" s="81">
        <f t="shared" si="7"/>
        <v>73.656220047392864</v>
      </c>
    </row>
    <row r="23" spans="1:15" x14ac:dyDescent="0.35">
      <c r="A23" s="57" t="s">
        <v>70</v>
      </c>
      <c r="B23" s="81">
        <f t="shared" si="0"/>
        <v>267.8</v>
      </c>
      <c r="C23" s="81">
        <f t="shared" si="1"/>
        <v>144.19999999999999</v>
      </c>
      <c r="E23" s="57" t="s">
        <v>70</v>
      </c>
      <c r="F23" s="81">
        <f t="shared" si="2"/>
        <v>306.15000000000003</v>
      </c>
      <c r="G23" s="81">
        <f t="shared" si="3"/>
        <v>164.85</v>
      </c>
      <c r="I23" s="57" t="s">
        <v>70</v>
      </c>
      <c r="J23" s="81">
        <f t="shared" si="9"/>
        <v>302.48037712391221</v>
      </c>
      <c r="K23" s="81">
        <f t="shared" si="8"/>
        <v>162.87404922056808</v>
      </c>
      <c r="M23" s="57" t="s">
        <v>70</v>
      </c>
      <c r="N23" s="81">
        <f t="shared" si="6"/>
        <v>292.14345904130408</v>
      </c>
      <c r="O23" s="81">
        <f t="shared" si="7"/>
        <v>157.30801640685601</v>
      </c>
    </row>
    <row r="24" spans="1:15" x14ac:dyDescent="0.35">
      <c r="A24" s="57" t="s">
        <v>71</v>
      </c>
      <c r="B24" s="81">
        <f t="shared" si="0"/>
        <v>586.30000000000007</v>
      </c>
      <c r="C24" s="81">
        <f t="shared" si="1"/>
        <v>315.7</v>
      </c>
      <c r="E24" s="57" t="s">
        <v>71</v>
      </c>
      <c r="F24" s="81">
        <f t="shared" si="2"/>
        <v>587.6</v>
      </c>
      <c r="G24" s="81">
        <f t="shared" si="3"/>
        <v>316.39999999999998</v>
      </c>
      <c r="I24" s="57" t="s">
        <v>71</v>
      </c>
      <c r="J24" s="81">
        <f t="shared" si="9"/>
        <v>580.55681723995031</v>
      </c>
      <c r="K24" s="81">
        <f t="shared" si="8"/>
        <v>312.60751697535784</v>
      </c>
      <c r="M24" s="57" t="s">
        <v>71</v>
      </c>
      <c r="N24" s="81">
        <f t="shared" si="6"/>
        <v>584.81893907998347</v>
      </c>
      <c r="O24" s="81">
        <f t="shared" si="7"/>
        <v>314.90250565845258</v>
      </c>
    </row>
    <row r="25" spans="1:15" x14ac:dyDescent="0.35">
      <c r="A25" s="57" t="s">
        <v>72</v>
      </c>
      <c r="B25" s="81">
        <f t="shared" si="0"/>
        <v>371.15000000000003</v>
      </c>
      <c r="C25" s="81">
        <f t="shared" si="1"/>
        <v>199.85</v>
      </c>
      <c r="E25" s="57" t="s">
        <v>72</v>
      </c>
      <c r="F25" s="81">
        <f t="shared" si="2"/>
        <v>384.15000000000003</v>
      </c>
      <c r="G25" s="81">
        <f t="shared" si="3"/>
        <v>206.85</v>
      </c>
      <c r="I25" s="57" t="s">
        <v>72</v>
      </c>
      <c r="J25" s="81">
        <f t="shared" si="9"/>
        <v>379.54544135930377</v>
      </c>
      <c r="K25" s="81">
        <f t="shared" si="8"/>
        <v>204.37062227039434</v>
      </c>
      <c r="M25" s="57" t="s">
        <v>72</v>
      </c>
      <c r="N25" s="81">
        <f t="shared" si="6"/>
        <v>378.28181378643461</v>
      </c>
      <c r="O25" s="81">
        <f t="shared" si="7"/>
        <v>203.69020742346478</v>
      </c>
    </row>
    <row r="26" spans="1:15" x14ac:dyDescent="0.35">
      <c r="A26" s="57"/>
      <c r="B26" s="81"/>
      <c r="C26" s="81"/>
      <c r="E26" s="57"/>
      <c r="F26" s="81"/>
      <c r="G26" s="81"/>
      <c r="I26" s="57"/>
      <c r="J26" s="81"/>
      <c r="K26" s="81"/>
      <c r="M26" s="57"/>
      <c r="N26" s="81"/>
      <c r="O26" s="81"/>
    </row>
    <row r="27" spans="1:15" x14ac:dyDescent="0.35">
      <c r="A27" s="60" t="s">
        <v>74</v>
      </c>
      <c r="B27" s="81"/>
      <c r="C27" s="81"/>
      <c r="E27" s="60" t="s">
        <v>74</v>
      </c>
      <c r="F27" s="81"/>
      <c r="G27" s="81"/>
      <c r="I27" s="60" t="s">
        <v>74</v>
      </c>
      <c r="J27" s="81"/>
      <c r="K27" s="81"/>
      <c r="M27" s="60" t="s">
        <v>74</v>
      </c>
      <c r="N27" s="81"/>
      <c r="O27" s="81"/>
    </row>
    <row r="28" spans="1:15" x14ac:dyDescent="0.35">
      <c r="A28" s="57" t="s">
        <v>22</v>
      </c>
      <c r="B28" s="81">
        <f t="shared" si="0"/>
        <v>301.60000000000002</v>
      </c>
      <c r="C28" s="81">
        <f t="shared" si="1"/>
        <v>162.39999999999998</v>
      </c>
      <c r="E28" s="57" t="s">
        <v>22</v>
      </c>
      <c r="F28" s="81">
        <f t="shared" si="2"/>
        <v>341.25</v>
      </c>
      <c r="G28" s="81">
        <f t="shared" si="3"/>
        <v>183.75</v>
      </c>
      <c r="I28" s="57" t="s">
        <v>22</v>
      </c>
      <c r="J28" s="81">
        <f t="shared" ref="J28:J35" si="10">J65*$A$4</f>
        <v>337.1596560298384</v>
      </c>
      <c r="K28" s="81">
        <f t="shared" ref="K28:K35" si="11">J65*$B$4</f>
        <v>181.54750709298989</v>
      </c>
      <c r="M28" s="57" t="s">
        <v>22</v>
      </c>
      <c r="N28" s="81">
        <f t="shared" si="6"/>
        <v>326.66988534327947</v>
      </c>
      <c r="O28" s="81">
        <f t="shared" si="7"/>
        <v>175.89916903099663</v>
      </c>
    </row>
    <row r="29" spans="1:15" x14ac:dyDescent="0.35">
      <c r="A29" s="57" t="s">
        <v>66</v>
      </c>
      <c r="B29" s="81">
        <f t="shared" si="0"/>
        <v>356.85</v>
      </c>
      <c r="C29" s="81">
        <f t="shared" si="1"/>
        <v>192.14999999999998</v>
      </c>
      <c r="E29" s="57" t="s">
        <v>66</v>
      </c>
      <c r="F29" s="81">
        <f t="shared" si="2"/>
        <v>316.55</v>
      </c>
      <c r="G29" s="81">
        <f t="shared" si="3"/>
        <v>170.45</v>
      </c>
      <c r="I29" s="57" t="s">
        <v>66</v>
      </c>
      <c r="J29" s="81">
        <f t="shared" si="10"/>
        <v>312.75571902196435</v>
      </c>
      <c r="K29" s="81">
        <f t="shared" si="11"/>
        <v>168.40692562721156</v>
      </c>
      <c r="M29" s="57" t="s">
        <v>66</v>
      </c>
      <c r="N29" s="81">
        <f t="shared" si="6"/>
        <v>328.71857300732148</v>
      </c>
      <c r="O29" s="81">
        <f t="shared" si="7"/>
        <v>177.00230854240385</v>
      </c>
    </row>
    <row r="30" spans="1:15" x14ac:dyDescent="0.35">
      <c r="A30" s="57" t="s">
        <v>67</v>
      </c>
      <c r="B30" s="81">
        <f t="shared" si="0"/>
        <v>0</v>
      </c>
      <c r="C30" s="81">
        <f t="shared" si="1"/>
        <v>0</v>
      </c>
      <c r="E30" s="57" t="s">
        <v>67</v>
      </c>
      <c r="F30" s="81">
        <f t="shared" si="2"/>
        <v>0</v>
      </c>
      <c r="G30" s="81">
        <f t="shared" si="3"/>
        <v>0</v>
      </c>
      <c r="I30" s="57" t="s">
        <v>67</v>
      </c>
      <c r="J30" s="81">
        <f t="shared" si="10"/>
        <v>0</v>
      </c>
      <c r="K30" s="81">
        <f t="shared" si="11"/>
        <v>0</v>
      </c>
      <c r="M30" s="57" t="s">
        <v>67</v>
      </c>
      <c r="N30" s="81">
        <f t="shared" si="6"/>
        <v>0</v>
      </c>
      <c r="O30" s="81">
        <f t="shared" si="7"/>
        <v>0</v>
      </c>
    </row>
    <row r="31" spans="1:15" x14ac:dyDescent="0.35">
      <c r="A31" s="57" t="s">
        <v>68</v>
      </c>
      <c r="B31" s="81">
        <f t="shared" si="0"/>
        <v>89.7</v>
      </c>
      <c r="C31" s="81">
        <f t="shared" si="1"/>
        <v>48.3</v>
      </c>
      <c r="E31" s="57" t="s">
        <v>68</v>
      </c>
      <c r="F31" s="81">
        <f t="shared" si="2"/>
        <v>72.8</v>
      </c>
      <c r="G31" s="81">
        <f t="shared" si="3"/>
        <v>39.199999999999996</v>
      </c>
      <c r="I31" s="57" t="s">
        <v>68</v>
      </c>
      <c r="J31" s="81">
        <f t="shared" si="10"/>
        <v>71.927393286365529</v>
      </c>
      <c r="K31" s="81">
        <f t="shared" si="11"/>
        <v>38.730134846504512</v>
      </c>
      <c r="M31" s="57" t="s">
        <v>68</v>
      </c>
      <c r="N31" s="81">
        <f t="shared" si="6"/>
        <v>78.142464428788514</v>
      </c>
      <c r="O31" s="81">
        <f t="shared" si="7"/>
        <v>42.076711615501502</v>
      </c>
    </row>
    <row r="32" spans="1:15" x14ac:dyDescent="0.35">
      <c r="A32" s="57" t="s">
        <v>69</v>
      </c>
      <c r="B32" s="81">
        <f t="shared" si="0"/>
        <v>189.8</v>
      </c>
      <c r="C32" s="81">
        <f t="shared" si="1"/>
        <v>102.19999999999999</v>
      </c>
      <c r="E32" s="57" t="s">
        <v>69</v>
      </c>
      <c r="F32" s="81">
        <f t="shared" si="2"/>
        <v>237.25</v>
      </c>
      <c r="G32" s="81">
        <f t="shared" si="3"/>
        <v>127.74999999999999</v>
      </c>
      <c r="I32" s="57" t="s">
        <v>69</v>
      </c>
      <c r="J32" s="81">
        <f t="shared" si="10"/>
        <v>234.40623704931625</v>
      </c>
      <c r="K32" s="81">
        <f t="shared" si="11"/>
        <v>126.21874302655489</v>
      </c>
      <c r="M32" s="57" t="s">
        <v>69</v>
      </c>
      <c r="N32" s="81">
        <f t="shared" si="6"/>
        <v>220.4854123497721</v>
      </c>
      <c r="O32" s="81">
        <f t="shared" si="7"/>
        <v>118.72291434218495</v>
      </c>
    </row>
    <row r="33" spans="1:15" x14ac:dyDescent="0.35">
      <c r="A33" s="57" t="s">
        <v>70</v>
      </c>
      <c r="B33" s="81">
        <f t="shared" si="0"/>
        <v>411.45</v>
      </c>
      <c r="C33" s="81">
        <f t="shared" si="1"/>
        <v>221.54999999999998</v>
      </c>
      <c r="E33" s="57" t="s">
        <v>70</v>
      </c>
      <c r="F33" s="81">
        <f t="shared" si="2"/>
        <v>455.65000000000003</v>
      </c>
      <c r="G33" s="81">
        <f t="shared" si="3"/>
        <v>245.35</v>
      </c>
      <c r="I33" s="57" t="s">
        <v>70</v>
      </c>
      <c r="J33" s="81">
        <f t="shared" si="10"/>
        <v>450.18841690841282</v>
      </c>
      <c r="K33" s="81">
        <f t="shared" si="11"/>
        <v>242.40914756606841</v>
      </c>
      <c r="M33" s="57" t="s">
        <v>70</v>
      </c>
      <c r="N33" s="81">
        <f t="shared" si="6"/>
        <v>439.09613896947099</v>
      </c>
      <c r="O33" s="81">
        <f t="shared" si="7"/>
        <v>236.4363825220228</v>
      </c>
    </row>
    <row r="34" spans="1:15" x14ac:dyDescent="0.35">
      <c r="A34" s="57" t="s">
        <v>71</v>
      </c>
      <c r="B34" s="81">
        <f t="shared" si="0"/>
        <v>900.9</v>
      </c>
      <c r="C34" s="81">
        <f t="shared" si="1"/>
        <v>485.09999999999997</v>
      </c>
      <c r="E34" s="57" t="s">
        <v>71</v>
      </c>
      <c r="F34" s="81">
        <f t="shared" si="2"/>
        <v>897.65</v>
      </c>
      <c r="G34" s="81">
        <f t="shared" si="3"/>
        <v>483.34999999999997</v>
      </c>
      <c r="I34" s="57" t="s">
        <v>71</v>
      </c>
      <c r="J34" s="81">
        <f t="shared" si="10"/>
        <v>886.89044757563204</v>
      </c>
      <c r="K34" s="81">
        <f t="shared" si="11"/>
        <v>477.5563948484172</v>
      </c>
      <c r="M34" s="57" t="s">
        <v>71</v>
      </c>
      <c r="N34" s="81">
        <f t="shared" si="6"/>
        <v>895.14681585854396</v>
      </c>
      <c r="O34" s="81">
        <f t="shared" si="7"/>
        <v>482.00213161613902</v>
      </c>
    </row>
    <row r="35" spans="1:15" x14ac:dyDescent="0.35">
      <c r="A35" s="57" t="s">
        <v>72</v>
      </c>
      <c r="B35" s="81">
        <f t="shared" si="0"/>
        <v>732.55000000000007</v>
      </c>
      <c r="C35" s="81">
        <f t="shared" si="1"/>
        <v>394.45</v>
      </c>
      <c r="E35" s="57" t="s">
        <v>72</v>
      </c>
      <c r="F35" s="81">
        <f t="shared" si="2"/>
        <v>737.1</v>
      </c>
      <c r="G35" s="81">
        <f t="shared" si="3"/>
        <v>396.9</v>
      </c>
      <c r="I35" s="57" t="s">
        <v>72</v>
      </c>
      <c r="J35" s="81">
        <f t="shared" si="10"/>
        <v>728.26485702445098</v>
      </c>
      <c r="K35" s="81">
        <f t="shared" si="11"/>
        <v>392.14261532085817</v>
      </c>
      <c r="M35" s="57" t="s">
        <v>72</v>
      </c>
      <c r="N35" s="81">
        <f t="shared" si="6"/>
        <v>732.63828567481698</v>
      </c>
      <c r="O35" s="81">
        <f t="shared" si="7"/>
        <v>394.49753844028606</v>
      </c>
    </row>
    <row r="38" spans="1:15" x14ac:dyDescent="0.35">
      <c r="A38" t="s">
        <v>136</v>
      </c>
      <c r="B38" s="78">
        <v>17539</v>
      </c>
      <c r="C38" s="78">
        <f>SUM(B8:C35)</f>
        <v>17539</v>
      </c>
      <c r="E38" t="s">
        <v>136</v>
      </c>
      <c r="F38" s="78">
        <v>18149</v>
      </c>
      <c r="G38" s="78">
        <f>SUM(F8:G35)</f>
        <v>18149</v>
      </c>
      <c r="J38" s="78"/>
      <c r="K38" s="42"/>
      <c r="N38" s="78"/>
    </row>
    <row r="39" spans="1:15" x14ac:dyDescent="0.35">
      <c r="A39" t="s">
        <v>44</v>
      </c>
      <c r="B39" s="79">
        <f>B38-C38</f>
        <v>0</v>
      </c>
      <c r="E39" t="s">
        <v>44</v>
      </c>
      <c r="F39" s="79">
        <f>F38-G38</f>
        <v>0</v>
      </c>
      <c r="J39" s="79"/>
    </row>
    <row r="40" spans="1:15" x14ac:dyDescent="0.35">
      <c r="A40" t="s">
        <v>46</v>
      </c>
      <c r="B40" s="77">
        <f>B39/B38</f>
        <v>0</v>
      </c>
      <c r="E40" t="s">
        <v>46</v>
      </c>
      <c r="F40" s="77">
        <f>F39/F38</f>
        <v>0</v>
      </c>
      <c r="J40" s="77"/>
    </row>
    <row r="43" spans="1:15" x14ac:dyDescent="0.35">
      <c r="A43" s="243" t="s">
        <v>89</v>
      </c>
      <c r="B43" s="243"/>
      <c r="E43" s="243" t="s">
        <v>90</v>
      </c>
      <c r="F43" s="243"/>
      <c r="I43" s="243" t="s">
        <v>50</v>
      </c>
      <c r="J43" s="243"/>
    </row>
    <row r="44" spans="1:15" x14ac:dyDescent="0.35">
      <c r="A44" s="60" t="s">
        <v>65</v>
      </c>
      <c r="B44" s="62" t="s">
        <v>137</v>
      </c>
      <c r="E44" s="60" t="s">
        <v>65</v>
      </c>
      <c r="F44" s="62" t="s">
        <v>137</v>
      </c>
      <c r="I44" s="60" t="s">
        <v>65</v>
      </c>
      <c r="J44" s="62" t="s">
        <v>137</v>
      </c>
    </row>
    <row r="45" spans="1:15" x14ac:dyDescent="0.35">
      <c r="A45" s="57" t="s">
        <v>22</v>
      </c>
      <c r="B45" s="58">
        <v>728</v>
      </c>
      <c r="E45" s="57" t="s">
        <v>22</v>
      </c>
      <c r="F45" s="58">
        <v>848</v>
      </c>
      <c r="I45" s="57" t="s">
        <v>22</v>
      </c>
      <c r="J45" s="58">
        <f>F45*(1+'Supplemental Allocation'!$P$17)</f>
        <v>837.8355701488731</v>
      </c>
      <c r="K45" s="237"/>
    </row>
    <row r="46" spans="1:15" x14ac:dyDescent="0.35">
      <c r="A46" s="57" t="s">
        <v>66</v>
      </c>
      <c r="B46" s="58">
        <v>825</v>
      </c>
      <c r="E46" s="57" t="s">
        <v>66</v>
      </c>
      <c r="F46" s="58">
        <v>751</v>
      </c>
      <c r="I46" s="57" t="s">
        <v>66</v>
      </c>
      <c r="J46" s="58">
        <f>F46*(1+'Supplemental Allocation'!$P$17)</f>
        <v>741.9982466766553</v>
      </c>
    </row>
    <row r="47" spans="1:15" x14ac:dyDescent="0.35">
      <c r="A47" s="57" t="s">
        <v>67</v>
      </c>
      <c r="B47" s="58">
        <v>0</v>
      </c>
      <c r="E47" s="57" t="s">
        <v>67</v>
      </c>
      <c r="F47" s="58">
        <v>0</v>
      </c>
      <c r="I47" s="57" t="s">
        <v>67</v>
      </c>
      <c r="J47" s="58">
        <f>F47*(1+'Supplemental Allocation'!$P$17)</f>
        <v>0</v>
      </c>
    </row>
    <row r="48" spans="1:15" x14ac:dyDescent="0.35">
      <c r="A48" s="57" t="s">
        <v>68</v>
      </c>
      <c r="B48" s="58">
        <v>218</v>
      </c>
      <c r="E48" s="57" t="s">
        <v>68</v>
      </c>
      <c r="F48" s="58">
        <v>206</v>
      </c>
      <c r="I48" s="57" t="s">
        <v>68</v>
      </c>
      <c r="J48" s="58">
        <f>F48*(1+'Supplemental Allocation'!$P$17)</f>
        <v>203.53081067295739</v>
      </c>
    </row>
    <row r="49" spans="1:10" x14ac:dyDescent="0.35">
      <c r="A49" s="57" t="s">
        <v>69</v>
      </c>
      <c r="B49" s="58">
        <v>711</v>
      </c>
      <c r="E49" s="57" t="s">
        <v>69</v>
      </c>
      <c r="F49" s="58">
        <v>879</v>
      </c>
      <c r="I49" s="57" t="s">
        <v>69</v>
      </c>
      <c r="J49" s="58">
        <f>F49*(1+'Supplemental Allocation'!$P$17)</f>
        <v>868.46399311422113</v>
      </c>
    </row>
    <row r="50" spans="1:10" x14ac:dyDescent="0.35">
      <c r="A50" s="57" t="s">
        <v>70</v>
      </c>
      <c r="B50" s="58">
        <v>1180</v>
      </c>
      <c r="E50" s="57" t="s">
        <v>70</v>
      </c>
      <c r="F50" s="58">
        <v>1313</v>
      </c>
      <c r="I50" s="57" t="s">
        <v>70</v>
      </c>
      <c r="J50" s="58">
        <f>F50*(1+'Supplemental Allocation'!$P$17)</f>
        <v>1297.2619146290924</v>
      </c>
    </row>
    <row r="51" spans="1:10" x14ac:dyDescent="0.35">
      <c r="A51" s="57" t="s">
        <v>71</v>
      </c>
      <c r="B51" s="58">
        <v>3627</v>
      </c>
      <c r="E51" s="57" t="s">
        <v>71</v>
      </c>
      <c r="F51" s="58">
        <v>3570</v>
      </c>
      <c r="I51" s="57" t="s">
        <v>71</v>
      </c>
      <c r="J51" s="58">
        <f>F51*(1+'Supplemental Allocation'!$P$17)</f>
        <v>3527.2087092352326</v>
      </c>
    </row>
    <row r="52" spans="1:10" x14ac:dyDescent="0.35">
      <c r="A52" s="57" t="s">
        <v>72</v>
      </c>
      <c r="B52" s="58">
        <v>2826</v>
      </c>
      <c r="E52" s="57" t="s">
        <v>72</v>
      </c>
      <c r="F52" s="58">
        <v>2891</v>
      </c>
      <c r="I52" s="57" t="s">
        <v>72</v>
      </c>
      <c r="J52" s="58">
        <f>F52*(1+'Supplemental Allocation'!$P$17)</f>
        <v>2856.3474449297078</v>
      </c>
    </row>
    <row r="53" spans="1:10" x14ac:dyDescent="0.35">
      <c r="A53" s="57"/>
      <c r="B53" s="58"/>
      <c r="E53" s="57"/>
      <c r="F53" s="58"/>
      <c r="I53" s="57"/>
      <c r="J53" s="58"/>
    </row>
    <row r="54" spans="1:10" x14ac:dyDescent="0.35">
      <c r="A54" s="60" t="s">
        <v>73</v>
      </c>
      <c r="B54" s="58"/>
      <c r="E54" s="60" t="s">
        <v>73</v>
      </c>
      <c r="F54" s="58"/>
      <c r="I54" s="60" t="s">
        <v>73</v>
      </c>
      <c r="J54" s="58"/>
    </row>
    <row r="55" spans="1:10" x14ac:dyDescent="0.35">
      <c r="A55" s="57" t="s">
        <v>22</v>
      </c>
      <c r="B55" s="58">
        <v>303</v>
      </c>
      <c r="E55" s="57" t="s">
        <v>22</v>
      </c>
      <c r="F55" s="58">
        <v>376</v>
      </c>
      <c r="I55" s="57" t="s">
        <v>22</v>
      </c>
      <c r="J55" s="58">
        <f>F55*(1+'Supplemental Allocation'!$P$17)</f>
        <v>371.49313016034938</v>
      </c>
    </row>
    <row r="56" spans="1:10" x14ac:dyDescent="0.35">
      <c r="A56" s="57" t="s">
        <v>66</v>
      </c>
      <c r="B56" s="58">
        <v>371</v>
      </c>
      <c r="E56" s="57" t="s">
        <v>66</v>
      </c>
      <c r="F56" s="58">
        <v>342</v>
      </c>
      <c r="I56" s="57" t="s">
        <v>66</v>
      </c>
      <c r="J56" s="58">
        <f>F56*(1+'Supplemental Allocation'!$P$17)</f>
        <v>337.90066626287103</v>
      </c>
    </row>
    <row r="57" spans="1:10" x14ac:dyDescent="0.35">
      <c r="A57" s="57" t="s">
        <v>67</v>
      </c>
      <c r="B57" s="58">
        <v>0</v>
      </c>
      <c r="E57" s="57" t="s">
        <v>67</v>
      </c>
      <c r="F57" s="58">
        <v>0</v>
      </c>
      <c r="I57" s="57" t="s">
        <v>67</v>
      </c>
      <c r="J57" s="58">
        <f>F57*(1+'Supplemental Allocation'!$P$17)</f>
        <v>0</v>
      </c>
    </row>
    <row r="58" spans="1:10" x14ac:dyDescent="0.35">
      <c r="A58" s="57" t="s">
        <v>68</v>
      </c>
      <c r="B58" s="58">
        <v>86</v>
      </c>
      <c r="E58" s="57" t="s">
        <v>68</v>
      </c>
      <c r="F58" s="58">
        <v>80</v>
      </c>
      <c r="I58" s="57" t="s">
        <v>68</v>
      </c>
      <c r="J58" s="58">
        <f>F58*(1+'Supplemental Allocation'!$P$17)</f>
        <v>79.041091523478599</v>
      </c>
    </row>
    <row r="59" spans="1:10" x14ac:dyDescent="0.35">
      <c r="A59" s="57" t="s">
        <v>69</v>
      </c>
      <c r="B59" s="58">
        <v>190</v>
      </c>
      <c r="E59" s="57" t="s">
        <v>69</v>
      </c>
      <c r="F59" s="58">
        <v>222</v>
      </c>
      <c r="I59" s="57" t="s">
        <v>69</v>
      </c>
      <c r="J59" s="58">
        <f>F59*(1+'Supplemental Allocation'!$P$17)</f>
        <v>219.3390289776531</v>
      </c>
    </row>
    <row r="60" spans="1:10" x14ac:dyDescent="0.35">
      <c r="A60" s="57" t="s">
        <v>70</v>
      </c>
      <c r="B60" s="58">
        <v>412</v>
      </c>
      <c r="E60" s="57" t="s">
        <v>70</v>
      </c>
      <c r="F60" s="58">
        <v>471</v>
      </c>
      <c r="I60" s="57" t="s">
        <v>70</v>
      </c>
      <c r="J60" s="58">
        <f>F60*(1+'Supplemental Allocation'!$P$17)</f>
        <v>465.35442634448026</v>
      </c>
    </row>
    <row r="61" spans="1:10" x14ac:dyDescent="0.35">
      <c r="A61" s="57" t="s">
        <v>71</v>
      </c>
      <c r="B61" s="58">
        <v>902</v>
      </c>
      <c r="E61" s="57" t="s">
        <v>71</v>
      </c>
      <c r="F61" s="58">
        <v>904</v>
      </c>
      <c r="I61" s="57" t="s">
        <v>71</v>
      </c>
      <c r="J61" s="58">
        <f>F61*(1+'Supplemental Allocation'!$P$17)</f>
        <v>893.16433421530814</v>
      </c>
    </row>
    <row r="62" spans="1:10" x14ac:dyDescent="0.35">
      <c r="A62" s="57" t="s">
        <v>72</v>
      </c>
      <c r="B62" s="58">
        <v>571</v>
      </c>
      <c r="E62" s="57" t="s">
        <v>72</v>
      </c>
      <c r="F62" s="58">
        <v>591</v>
      </c>
      <c r="I62" s="57" t="s">
        <v>72</v>
      </c>
      <c r="J62" s="58">
        <f>F62*(1+'Supplemental Allocation'!$P$17)</f>
        <v>583.9160636296981</v>
      </c>
    </row>
    <row r="63" spans="1:10" x14ac:dyDescent="0.35">
      <c r="A63" s="57"/>
      <c r="B63" s="58"/>
      <c r="E63" s="57"/>
      <c r="F63" s="58"/>
      <c r="I63" s="57"/>
      <c r="J63" s="58"/>
    </row>
    <row r="64" spans="1:10" x14ac:dyDescent="0.35">
      <c r="A64" s="60" t="s">
        <v>74</v>
      </c>
      <c r="B64" s="58"/>
      <c r="E64" s="60" t="s">
        <v>74</v>
      </c>
      <c r="F64" s="58"/>
      <c r="I64" s="60" t="s">
        <v>74</v>
      </c>
      <c r="J64" s="58"/>
    </row>
    <row r="65" spans="1:10" x14ac:dyDescent="0.35">
      <c r="A65" s="57" t="s">
        <v>22</v>
      </c>
      <c r="B65" s="58">
        <v>464</v>
      </c>
      <c r="E65" s="57" t="s">
        <v>22</v>
      </c>
      <c r="F65" s="58">
        <v>525</v>
      </c>
      <c r="I65" s="57" t="s">
        <v>22</v>
      </c>
      <c r="J65" s="58">
        <f>F65*(1+'Supplemental Allocation'!$P$17)</f>
        <v>518.70716312282832</v>
      </c>
    </row>
    <row r="66" spans="1:10" x14ac:dyDescent="0.35">
      <c r="A66" s="57" t="s">
        <v>66</v>
      </c>
      <c r="B66" s="58">
        <v>549</v>
      </c>
      <c r="E66" s="57" t="s">
        <v>66</v>
      </c>
      <c r="F66" s="58">
        <v>487</v>
      </c>
      <c r="I66" s="57" t="s">
        <v>66</v>
      </c>
      <c r="J66" s="58">
        <f>F66*(1+'Supplemental Allocation'!$P$17)</f>
        <v>481.16264464917595</v>
      </c>
    </row>
    <row r="67" spans="1:10" x14ac:dyDescent="0.35">
      <c r="A67" s="57" t="s">
        <v>67</v>
      </c>
      <c r="B67" s="58">
        <v>0</v>
      </c>
      <c r="E67" s="57" t="s">
        <v>67</v>
      </c>
      <c r="F67" s="58">
        <v>0</v>
      </c>
      <c r="I67" s="57" t="s">
        <v>67</v>
      </c>
      <c r="J67" s="58">
        <f>F67*(1+'Supplemental Allocation'!$P$17)</f>
        <v>0</v>
      </c>
    </row>
    <row r="68" spans="1:10" x14ac:dyDescent="0.35">
      <c r="A68" s="57" t="s">
        <v>68</v>
      </c>
      <c r="B68" s="58">
        <v>138</v>
      </c>
      <c r="E68" s="57" t="s">
        <v>68</v>
      </c>
      <c r="F68" s="58">
        <v>112</v>
      </c>
      <c r="I68" s="57" t="s">
        <v>68</v>
      </c>
      <c r="J68" s="58">
        <f>F68*(1+'Supplemental Allocation'!$P$17)</f>
        <v>110.65752813287004</v>
      </c>
    </row>
    <row r="69" spans="1:10" x14ac:dyDescent="0.35">
      <c r="A69" s="57" t="s">
        <v>69</v>
      </c>
      <c r="B69" s="58">
        <v>292</v>
      </c>
      <c r="E69" s="57" t="s">
        <v>69</v>
      </c>
      <c r="F69" s="58">
        <v>365</v>
      </c>
      <c r="I69" s="57" t="s">
        <v>69</v>
      </c>
      <c r="J69" s="58">
        <f>F69*(1+'Supplemental Allocation'!$P$17)</f>
        <v>360.62498007587112</v>
      </c>
    </row>
    <row r="70" spans="1:10" x14ac:dyDescent="0.35">
      <c r="A70" s="57" t="s">
        <v>70</v>
      </c>
      <c r="B70" s="58">
        <v>633</v>
      </c>
      <c r="E70" s="57" t="s">
        <v>70</v>
      </c>
      <c r="F70" s="58">
        <v>701</v>
      </c>
      <c r="I70" s="57" t="s">
        <v>70</v>
      </c>
      <c r="J70" s="58">
        <f>F70*(1+'Supplemental Allocation'!$P$17)</f>
        <v>692.59756447448126</v>
      </c>
    </row>
    <row r="71" spans="1:10" x14ac:dyDescent="0.35">
      <c r="A71" s="57" t="s">
        <v>71</v>
      </c>
      <c r="B71" s="58">
        <v>1386</v>
      </c>
      <c r="E71" s="57" t="s">
        <v>71</v>
      </c>
      <c r="F71" s="58">
        <v>1381</v>
      </c>
      <c r="I71" s="57" t="s">
        <v>71</v>
      </c>
      <c r="J71" s="58">
        <f>F71*(1+'Supplemental Allocation'!$P$17)</f>
        <v>1364.4468424240492</v>
      </c>
    </row>
    <row r="72" spans="1:10" x14ac:dyDescent="0.35">
      <c r="A72" s="57" t="s">
        <v>72</v>
      </c>
      <c r="B72" s="58">
        <v>1127</v>
      </c>
      <c r="E72" s="57" t="s">
        <v>72</v>
      </c>
      <c r="F72" s="58">
        <v>1134</v>
      </c>
      <c r="I72" s="57" t="s">
        <v>72</v>
      </c>
      <c r="J72" s="58">
        <f>F72*(1+'Supplemental Allocation'!$P$17)</f>
        <v>1120.4074723453091</v>
      </c>
    </row>
  </sheetData>
  <mergeCells count="7">
    <mergeCell ref="M6:O6"/>
    <mergeCell ref="A43:B43"/>
    <mergeCell ref="E43:F43"/>
    <mergeCell ref="I43:J43"/>
    <mergeCell ref="A6:C6"/>
    <mergeCell ref="E6:G6"/>
    <mergeCell ref="I6:K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3"/>
  <sheetViews>
    <sheetView topLeftCell="G1" zoomScale="140" zoomScaleNormal="140" workbookViewId="0">
      <selection activeCell="K9" sqref="K9"/>
    </sheetView>
  </sheetViews>
  <sheetFormatPr defaultRowHeight="14.5" x14ac:dyDescent="0.35"/>
  <cols>
    <col min="1" max="1" width="21.81640625" bestFit="1" customWidth="1"/>
    <col min="2" max="2" width="9.7265625" bestFit="1" customWidth="1"/>
    <col min="4" max="4" width="21.81640625" bestFit="1" customWidth="1"/>
    <col min="5" max="5" width="9.7265625" customWidth="1"/>
    <col min="6" max="6" width="8.7265625" customWidth="1"/>
    <col min="7" max="7" width="21.81640625" customWidth="1"/>
    <col min="8" max="8" width="9.7265625" customWidth="1"/>
    <col min="9" max="9" width="8.7265625" customWidth="1"/>
    <col min="10" max="10" width="21.81640625" bestFit="1" customWidth="1"/>
    <col min="11" max="11" width="9.7265625" bestFit="1" customWidth="1"/>
    <col min="14" max="14" width="19.54296875" bestFit="1" customWidth="1"/>
    <col min="15" max="15" width="23.1796875" bestFit="1" customWidth="1"/>
  </cols>
  <sheetData>
    <row r="1" spans="1:16" x14ac:dyDescent="0.35">
      <c r="A1" s="49" t="s">
        <v>41</v>
      </c>
    </row>
    <row r="4" spans="1:16" x14ac:dyDescent="0.35">
      <c r="N4" s="261" t="s">
        <v>75</v>
      </c>
      <c r="O4" s="261"/>
    </row>
    <row r="5" spans="1:16" x14ac:dyDescent="0.35">
      <c r="A5" s="262" t="s">
        <v>88</v>
      </c>
      <c r="B5" s="262"/>
      <c r="D5" s="262" t="s">
        <v>89</v>
      </c>
      <c r="E5" s="262"/>
      <c r="G5" s="262" t="s">
        <v>90</v>
      </c>
      <c r="H5" s="262"/>
      <c r="J5" s="262" t="s">
        <v>50</v>
      </c>
      <c r="K5" s="262"/>
      <c r="N5" t="s">
        <v>134</v>
      </c>
      <c r="O5" t="s">
        <v>132</v>
      </c>
      <c r="P5" t="s">
        <v>133</v>
      </c>
    </row>
    <row r="6" spans="1:16" x14ac:dyDescent="0.35">
      <c r="B6" t="s">
        <v>86</v>
      </c>
      <c r="E6" t="s">
        <v>86</v>
      </c>
      <c r="H6" t="s">
        <v>86</v>
      </c>
      <c r="K6" t="s">
        <v>86</v>
      </c>
      <c r="N6">
        <v>19401</v>
      </c>
      <c r="O6">
        <v>19068</v>
      </c>
      <c r="P6" s="52">
        <f>(O6-N6)/N6</f>
        <v>-1.7164063708056287E-2</v>
      </c>
    </row>
    <row r="7" spans="1:16" x14ac:dyDescent="0.35">
      <c r="A7" t="s">
        <v>85</v>
      </c>
      <c r="B7">
        <v>508</v>
      </c>
      <c r="D7" t="s">
        <v>85</v>
      </c>
      <c r="E7">
        <v>536</v>
      </c>
      <c r="G7" t="s">
        <v>85</v>
      </c>
      <c r="H7">
        <v>590</v>
      </c>
      <c r="J7" t="s">
        <v>85</v>
      </c>
      <c r="K7" s="78">
        <f>ROUND(AVERAGE(H7,E7,B7),0)*(1+$P$6)</f>
        <v>535.64558527910924</v>
      </c>
    </row>
    <row r="8" spans="1:16" x14ac:dyDescent="0.35">
      <c r="A8" t="s">
        <v>73</v>
      </c>
      <c r="B8" s="76">
        <f>E48</f>
        <v>3055</v>
      </c>
      <c r="D8" t="s">
        <v>73</v>
      </c>
      <c r="E8" s="76">
        <f>H48</f>
        <v>2875</v>
      </c>
      <c r="G8" t="s">
        <v>73</v>
      </c>
      <c r="H8" s="76">
        <f>K48</f>
        <v>3096</v>
      </c>
      <c r="J8" t="s">
        <v>73</v>
      </c>
      <c r="K8" s="78">
        <f t="shared" ref="K8:K9" si="0">ROUND(AVERAGE(H8,E8,B8),0)*(1+$P$6)</f>
        <v>2957.3533323024585</v>
      </c>
    </row>
    <row r="9" spans="1:16" x14ac:dyDescent="0.35">
      <c r="A9" t="s">
        <v>74</v>
      </c>
      <c r="B9" s="76">
        <f>E30</f>
        <v>8382</v>
      </c>
      <c r="D9" t="s">
        <v>74</v>
      </c>
      <c r="E9" s="76">
        <f>H30</f>
        <v>7930</v>
      </c>
      <c r="G9" t="s">
        <v>74</v>
      </c>
      <c r="H9" s="76">
        <f>K30</f>
        <v>7875</v>
      </c>
      <c r="J9" t="s">
        <v>74</v>
      </c>
      <c r="K9" s="78">
        <f t="shared" si="0"/>
        <v>7923.6233183856493</v>
      </c>
    </row>
    <row r="11" spans="1:16" x14ac:dyDescent="0.35">
      <c r="N11" s="261" t="s">
        <v>81</v>
      </c>
      <c r="O11" s="261"/>
    </row>
    <row r="12" spans="1:16" x14ac:dyDescent="0.35">
      <c r="B12" t="s">
        <v>87</v>
      </c>
      <c r="E12" t="s">
        <v>87</v>
      </c>
      <c r="H12" t="s">
        <v>87</v>
      </c>
      <c r="K12" t="s">
        <v>87</v>
      </c>
      <c r="N12" t="s">
        <v>134</v>
      </c>
      <c r="O12" t="s">
        <v>132</v>
      </c>
      <c r="P12" t="s">
        <v>133</v>
      </c>
    </row>
    <row r="13" spans="1:16" x14ac:dyDescent="0.35">
      <c r="A13" t="s">
        <v>85</v>
      </c>
      <c r="B13">
        <v>188</v>
      </c>
      <c r="D13" t="s">
        <v>85</v>
      </c>
      <c r="E13">
        <v>195</v>
      </c>
      <c r="G13" t="s">
        <v>85</v>
      </c>
      <c r="H13">
        <v>127</v>
      </c>
      <c r="J13" t="s">
        <v>85</v>
      </c>
      <c r="K13" s="78">
        <f>ROUND(AVERAGE(H13,E13,B13),0)*(1+$P$13)</f>
        <v>169.38920454545456</v>
      </c>
      <c r="N13">
        <v>11968</v>
      </c>
      <c r="O13">
        <v>11925</v>
      </c>
      <c r="P13" s="52">
        <f>(O13-N13)/N13</f>
        <v>-3.5929144385026738E-3</v>
      </c>
    </row>
    <row r="14" spans="1:16" x14ac:dyDescent="0.35">
      <c r="A14" t="s">
        <v>73</v>
      </c>
      <c r="B14" s="76">
        <f>E81</f>
        <v>1570</v>
      </c>
      <c r="D14" t="s">
        <v>73</v>
      </c>
      <c r="E14" s="76">
        <f>H81</f>
        <v>1541</v>
      </c>
      <c r="G14" t="s">
        <v>73</v>
      </c>
      <c r="H14" s="76">
        <f>K81</f>
        <v>1640</v>
      </c>
      <c r="J14" t="s">
        <v>73</v>
      </c>
      <c r="K14" s="78">
        <f t="shared" ref="K14:K15" si="1">ROUND(AVERAGE(H14,E14,B14),0)*(1+$P$13)</f>
        <v>1578.3088235294119</v>
      </c>
    </row>
    <row r="15" spans="1:16" x14ac:dyDescent="0.35">
      <c r="A15" t="s">
        <v>74</v>
      </c>
      <c r="B15" s="76">
        <f>E62</f>
        <v>3983</v>
      </c>
      <c r="D15" t="s">
        <v>74</v>
      </c>
      <c r="E15" s="76">
        <f>H62</f>
        <v>3770</v>
      </c>
      <c r="G15" t="s">
        <v>74</v>
      </c>
      <c r="H15" s="76">
        <f>K62</f>
        <v>3816</v>
      </c>
      <c r="J15" t="s">
        <v>74</v>
      </c>
      <c r="K15" s="78">
        <f t="shared" si="1"/>
        <v>3842.1457219251338</v>
      </c>
      <c r="P15" s="52"/>
    </row>
    <row r="16" spans="1:16" x14ac:dyDescent="0.35">
      <c r="N16" s="261" t="s">
        <v>137</v>
      </c>
      <c r="O16" s="261"/>
      <c r="P16" t="s">
        <v>133</v>
      </c>
    </row>
    <row r="17" spans="1:16" x14ac:dyDescent="0.35">
      <c r="N17">
        <f>N13+N6</f>
        <v>31369</v>
      </c>
      <c r="O17">
        <f>O13+O6</f>
        <v>30993</v>
      </c>
      <c r="P17" s="238">
        <f>(O17-N17)/N17</f>
        <v>-1.1986355956517581E-2</v>
      </c>
    </row>
    <row r="27" spans="1:16" x14ac:dyDescent="0.35">
      <c r="E27" s="71" t="s">
        <v>91</v>
      </c>
      <c r="F27" s="71" t="s">
        <v>91</v>
      </c>
      <c r="G27" s="71" t="s">
        <v>91</v>
      </c>
      <c r="H27" s="71" t="s">
        <v>92</v>
      </c>
      <c r="I27" s="71" t="s">
        <v>92</v>
      </c>
      <c r="J27" s="71" t="s">
        <v>92</v>
      </c>
      <c r="K27" s="71" t="s">
        <v>93</v>
      </c>
      <c r="L27" s="71" t="s">
        <v>93</v>
      </c>
      <c r="M27" s="71" t="s">
        <v>93</v>
      </c>
    </row>
    <row r="28" spans="1:16" x14ac:dyDescent="0.35">
      <c r="E28" s="72" t="s">
        <v>94</v>
      </c>
      <c r="F28" s="72" t="s">
        <v>95</v>
      </c>
      <c r="G28" s="73" t="s">
        <v>96</v>
      </c>
      <c r="H28" s="72" t="s">
        <v>94</v>
      </c>
      <c r="I28" s="72" t="s">
        <v>95</v>
      </c>
      <c r="J28" s="73" t="s">
        <v>96</v>
      </c>
      <c r="K28" s="72" t="s">
        <v>94</v>
      </c>
      <c r="L28" s="72" t="s">
        <v>95</v>
      </c>
      <c r="M28" s="73" t="s">
        <v>96</v>
      </c>
    </row>
    <row r="29" spans="1:16" x14ac:dyDescent="0.35">
      <c r="A29" s="260" t="s">
        <v>97</v>
      </c>
      <c r="B29" s="260"/>
      <c r="C29" s="260"/>
      <c r="D29" s="260"/>
      <c r="E29" s="74">
        <v>8544</v>
      </c>
      <c r="F29" s="74">
        <v>26140</v>
      </c>
      <c r="G29" s="75">
        <v>20392943</v>
      </c>
      <c r="H29" s="74">
        <v>8128</v>
      </c>
      <c r="I29" s="74">
        <v>25152</v>
      </c>
      <c r="J29" s="75">
        <v>19998926</v>
      </c>
      <c r="K29" s="74">
        <v>8054</v>
      </c>
      <c r="L29" s="74">
        <v>24586</v>
      </c>
      <c r="M29" s="75">
        <v>20492079</v>
      </c>
    </row>
    <row r="30" spans="1:16" x14ac:dyDescent="0.35">
      <c r="A30" s="71"/>
      <c r="B30" s="260" t="s">
        <v>98</v>
      </c>
      <c r="C30" s="260"/>
      <c r="D30" s="260"/>
      <c r="E30" s="74">
        <v>8382</v>
      </c>
      <c r="F30" s="74">
        <v>15501</v>
      </c>
      <c r="G30" s="75">
        <v>6117080</v>
      </c>
      <c r="H30" s="74">
        <v>7930</v>
      </c>
      <c r="I30" s="74">
        <v>14605</v>
      </c>
      <c r="J30" s="75">
        <v>5792941</v>
      </c>
      <c r="K30" s="74">
        <v>7875</v>
      </c>
      <c r="L30" s="74">
        <v>14473</v>
      </c>
      <c r="M30" s="75">
        <v>5743514</v>
      </c>
    </row>
    <row r="31" spans="1:16" x14ac:dyDescent="0.35">
      <c r="A31" s="71"/>
      <c r="B31" s="71"/>
      <c r="C31" s="260" t="s">
        <v>99</v>
      </c>
      <c r="D31" s="260"/>
      <c r="E31" s="74"/>
      <c r="F31" s="74"/>
      <c r="G31" s="75"/>
      <c r="H31" s="74">
        <v>3</v>
      </c>
      <c r="I31" s="74">
        <v>3</v>
      </c>
      <c r="J31" s="75">
        <v>1104</v>
      </c>
      <c r="K31" s="74">
        <v>2</v>
      </c>
      <c r="L31" s="74">
        <v>3</v>
      </c>
      <c r="M31" s="75">
        <v>1196</v>
      </c>
    </row>
    <row r="32" spans="1:16" x14ac:dyDescent="0.35">
      <c r="A32" s="71"/>
      <c r="B32" s="71"/>
      <c r="C32" s="260" t="s">
        <v>100</v>
      </c>
      <c r="D32" s="260"/>
      <c r="E32" s="74">
        <v>25</v>
      </c>
      <c r="F32" s="74">
        <v>39</v>
      </c>
      <c r="G32" s="75">
        <v>12098</v>
      </c>
      <c r="H32" s="74">
        <v>8</v>
      </c>
      <c r="I32" s="74">
        <v>11</v>
      </c>
      <c r="J32" s="75">
        <v>2576</v>
      </c>
      <c r="K32" s="74">
        <v>2</v>
      </c>
      <c r="L32" s="74">
        <v>3</v>
      </c>
      <c r="M32" s="75">
        <v>414</v>
      </c>
    </row>
    <row r="33" spans="1:13" x14ac:dyDescent="0.35">
      <c r="A33" s="71"/>
      <c r="B33" s="71"/>
      <c r="C33" s="260" t="s">
        <v>101</v>
      </c>
      <c r="D33" s="260"/>
      <c r="E33" s="74">
        <v>50</v>
      </c>
      <c r="F33" s="74">
        <v>86</v>
      </c>
      <c r="G33" s="75">
        <v>24357</v>
      </c>
      <c r="H33" s="74">
        <v>31</v>
      </c>
      <c r="I33" s="74">
        <v>47</v>
      </c>
      <c r="J33" s="75">
        <v>11477</v>
      </c>
      <c r="K33" s="74">
        <v>38</v>
      </c>
      <c r="L33" s="74">
        <v>59</v>
      </c>
      <c r="M33" s="75">
        <v>13179</v>
      </c>
    </row>
    <row r="34" spans="1:13" x14ac:dyDescent="0.35">
      <c r="A34" s="71"/>
      <c r="B34" s="71"/>
      <c r="C34" s="260" t="s">
        <v>102</v>
      </c>
      <c r="D34" s="260"/>
      <c r="E34" s="74">
        <v>7</v>
      </c>
      <c r="F34" s="74">
        <v>10</v>
      </c>
      <c r="G34" s="75">
        <v>3496</v>
      </c>
      <c r="H34" s="74">
        <v>4</v>
      </c>
      <c r="I34" s="74">
        <v>8</v>
      </c>
      <c r="J34" s="75">
        <v>2622</v>
      </c>
      <c r="K34" s="74">
        <v>6</v>
      </c>
      <c r="L34" s="74">
        <v>6</v>
      </c>
      <c r="M34" s="75">
        <v>2461</v>
      </c>
    </row>
    <row r="35" spans="1:13" x14ac:dyDescent="0.35">
      <c r="A35" s="71"/>
      <c r="B35" s="71"/>
      <c r="C35" s="260" t="s">
        <v>103</v>
      </c>
      <c r="D35" s="260"/>
      <c r="E35" s="74">
        <v>808</v>
      </c>
      <c r="F35" s="74">
        <v>1398</v>
      </c>
      <c r="G35" s="75">
        <v>514142</v>
      </c>
      <c r="H35" s="74">
        <v>642</v>
      </c>
      <c r="I35" s="74">
        <v>1091</v>
      </c>
      <c r="J35" s="75">
        <v>393875</v>
      </c>
      <c r="K35" s="74">
        <v>499</v>
      </c>
      <c r="L35" s="74">
        <v>810</v>
      </c>
      <c r="M35" s="75">
        <v>280324</v>
      </c>
    </row>
    <row r="36" spans="1:13" x14ac:dyDescent="0.35">
      <c r="A36" s="71"/>
      <c r="B36" s="71"/>
      <c r="C36" s="260" t="s">
        <v>104</v>
      </c>
      <c r="D36" s="260"/>
      <c r="E36" s="74">
        <v>7493</v>
      </c>
      <c r="F36" s="74">
        <v>13915</v>
      </c>
      <c r="G36" s="75">
        <v>5538285</v>
      </c>
      <c r="H36" s="74">
        <v>7229</v>
      </c>
      <c r="I36" s="74">
        <v>13389</v>
      </c>
      <c r="J36" s="75">
        <v>5354216</v>
      </c>
      <c r="K36" s="74">
        <v>7315</v>
      </c>
      <c r="L36" s="74">
        <v>13541</v>
      </c>
      <c r="M36" s="75">
        <v>5424941</v>
      </c>
    </row>
    <row r="37" spans="1:13" x14ac:dyDescent="0.35">
      <c r="A37" s="71"/>
      <c r="B37" s="71"/>
      <c r="C37" s="260" t="s">
        <v>105</v>
      </c>
      <c r="D37" s="260"/>
      <c r="E37" s="74">
        <v>30</v>
      </c>
      <c r="F37" s="74">
        <v>53</v>
      </c>
      <c r="G37" s="75">
        <v>24702</v>
      </c>
      <c r="H37" s="74">
        <v>30</v>
      </c>
      <c r="I37" s="74">
        <v>56</v>
      </c>
      <c r="J37" s="75">
        <v>27071</v>
      </c>
      <c r="K37" s="74">
        <v>30</v>
      </c>
      <c r="L37" s="74">
        <v>51</v>
      </c>
      <c r="M37" s="75">
        <v>20999</v>
      </c>
    </row>
    <row r="38" spans="1:13" x14ac:dyDescent="0.35">
      <c r="A38" s="71"/>
      <c r="B38" s="260" t="s">
        <v>106</v>
      </c>
      <c r="C38" s="260"/>
      <c r="D38" s="260"/>
      <c r="E38" s="74">
        <v>3124</v>
      </c>
      <c r="F38" s="74">
        <v>10002</v>
      </c>
      <c r="G38" s="75">
        <v>13054140</v>
      </c>
      <c r="H38" s="74">
        <v>2945</v>
      </c>
      <c r="I38" s="74">
        <v>9907</v>
      </c>
      <c r="J38" s="75">
        <v>12967763</v>
      </c>
      <c r="K38" s="74">
        <v>3192</v>
      </c>
      <c r="L38" s="74">
        <v>9573</v>
      </c>
      <c r="M38" s="75">
        <v>13636734</v>
      </c>
    </row>
    <row r="39" spans="1:13" x14ac:dyDescent="0.35">
      <c r="A39" s="71"/>
      <c r="B39" s="71"/>
      <c r="C39" s="260" t="s">
        <v>107</v>
      </c>
      <c r="D39" s="260"/>
      <c r="E39" s="74"/>
      <c r="F39" s="74"/>
      <c r="G39" s="75"/>
      <c r="H39" s="74"/>
      <c r="I39" s="74"/>
      <c r="J39" s="75"/>
      <c r="K39" s="74">
        <v>1</v>
      </c>
      <c r="L39" s="74">
        <v>2</v>
      </c>
      <c r="M39" s="75">
        <v>2250</v>
      </c>
    </row>
    <row r="40" spans="1:13" x14ac:dyDescent="0.35">
      <c r="A40" s="71"/>
      <c r="B40" s="71"/>
      <c r="C40" s="260" t="s">
        <v>108</v>
      </c>
      <c r="D40" s="260"/>
      <c r="E40" s="74">
        <v>770</v>
      </c>
      <c r="F40" s="74">
        <v>1372</v>
      </c>
      <c r="G40" s="75">
        <v>1007591</v>
      </c>
      <c r="H40" s="74">
        <v>683</v>
      </c>
      <c r="I40" s="74">
        <v>1217</v>
      </c>
      <c r="J40" s="75">
        <v>896792</v>
      </c>
      <c r="K40" s="74">
        <v>603</v>
      </c>
      <c r="L40" s="74">
        <v>1053</v>
      </c>
      <c r="M40" s="75">
        <v>1052907</v>
      </c>
    </row>
    <row r="41" spans="1:13" x14ac:dyDescent="0.35">
      <c r="A41" s="71"/>
      <c r="B41" s="71"/>
      <c r="C41" s="260" t="s">
        <v>109</v>
      </c>
      <c r="D41" s="260"/>
      <c r="E41" s="74">
        <v>51</v>
      </c>
      <c r="F41" s="74">
        <v>82</v>
      </c>
      <c r="G41" s="75">
        <v>35321</v>
      </c>
      <c r="H41" s="74">
        <v>61</v>
      </c>
      <c r="I41" s="74">
        <v>105</v>
      </c>
      <c r="J41" s="75">
        <v>47015</v>
      </c>
      <c r="K41" s="74">
        <v>65</v>
      </c>
      <c r="L41" s="74">
        <v>114</v>
      </c>
      <c r="M41" s="75">
        <v>104761</v>
      </c>
    </row>
    <row r="42" spans="1:13" x14ac:dyDescent="0.35">
      <c r="A42" s="71"/>
      <c r="B42" s="71"/>
      <c r="C42" s="260" t="s">
        <v>110</v>
      </c>
      <c r="D42" s="260"/>
      <c r="E42" s="74">
        <v>39</v>
      </c>
      <c r="F42" s="74">
        <v>55</v>
      </c>
      <c r="G42" s="75">
        <v>53050</v>
      </c>
      <c r="H42" s="74">
        <v>30</v>
      </c>
      <c r="I42" s="74">
        <v>46</v>
      </c>
      <c r="J42" s="75">
        <v>16317</v>
      </c>
      <c r="K42" s="74">
        <v>29</v>
      </c>
      <c r="L42" s="74">
        <v>44</v>
      </c>
      <c r="M42" s="75">
        <v>36700</v>
      </c>
    </row>
    <row r="43" spans="1:13" x14ac:dyDescent="0.35">
      <c r="A43" s="71"/>
      <c r="B43" s="71"/>
      <c r="C43" s="260" t="s">
        <v>111</v>
      </c>
      <c r="D43" s="260"/>
      <c r="E43" s="74">
        <v>23</v>
      </c>
      <c r="F43" s="74">
        <v>33</v>
      </c>
      <c r="G43" s="75">
        <v>82295</v>
      </c>
      <c r="H43" s="74">
        <v>29</v>
      </c>
      <c r="I43" s="74">
        <v>53</v>
      </c>
      <c r="J43" s="75">
        <v>132500</v>
      </c>
      <c r="K43" s="74">
        <v>13</v>
      </c>
      <c r="L43" s="74">
        <v>23</v>
      </c>
      <c r="M43" s="75">
        <v>55834</v>
      </c>
    </row>
    <row r="44" spans="1:13" x14ac:dyDescent="0.35">
      <c r="A44" s="71"/>
      <c r="B44" s="71"/>
      <c r="C44" s="260" t="s">
        <v>112</v>
      </c>
      <c r="D44" s="260"/>
      <c r="E44" s="74">
        <v>56</v>
      </c>
      <c r="F44" s="74">
        <v>93</v>
      </c>
      <c r="G44" s="75">
        <v>69750</v>
      </c>
      <c r="H44" s="74"/>
      <c r="I44" s="74"/>
      <c r="J44" s="75"/>
      <c r="K44" s="74"/>
      <c r="L44" s="74"/>
      <c r="M44" s="75"/>
    </row>
    <row r="45" spans="1:13" x14ac:dyDescent="0.35">
      <c r="A45" s="71"/>
      <c r="B45" s="71"/>
      <c r="C45" s="260" t="s">
        <v>113</v>
      </c>
      <c r="D45" s="260"/>
      <c r="E45" s="74">
        <v>221</v>
      </c>
      <c r="F45" s="74">
        <v>258</v>
      </c>
      <c r="G45" s="75">
        <v>76230</v>
      </c>
      <c r="H45" s="74">
        <v>275</v>
      </c>
      <c r="I45" s="74">
        <v>379</v>
      </c>
      <c r="J45" s="75">
        <v>116750</v>
      </c>
      <c r="K45" s="74">
        <v>267</v>
      </c>
      <c r="L45" s="74">
        <v>394</v>
      </c>
      <c r="M45" s="75">
        <v>115100</v>
      </c>
    </row>
    <row r="46" spans="1:13" x14ac:dyDescent="0.35">
      <c r="A46" s="71"/>
      <c r="B46" s="71"/>
      <c r="C46" s="260" t="s">
        <v>114</v>
      </c>
      <c r="D46" s="260"/>
      <c r="E46" s="74">
        <v>398</v>
      </c>
      <c r="F46" s="74">
        <v>711</v>
      </c>
      <c r="G46" s="75">
        <v>355500</v>
      </c>
      <c r="H46" s="74"/>
      <c r="I46" s="74"/>
      <c r="J46" s="75"/>
      <c r="K46" s="74"/>
      <c r="L46" s="74"/>
      <c r="M46" s="75"/>
    </row>
    <row r="47" spans="1:13" x14ac:dyDescent="0.35">
      <c r="A47" s="71"/>
      <c r="B47" s="71"/>
      <c r="C47" s="260" t="s">
        <v>115</v>
      </c>
      <c r="D47" s="260"/>
      <c r="E47" s="74"/>
      <c r="F47" s="74"/>
      <c r="G47" s="75"/>
      <c r="H47" s="74">
        <v>2</v>
      </c>
      <c r="I47" s="74">
        <v>2</v>
      </c>
      <c r="J47" s="75">
        <v>1000</v>
      </c>
      <c r="K47" s="74">
        <v>5</v>
      </c>
      <c r="L47" s="74">
        <v>6</v>
      </c>
      <c r="M47" s="75">
        <v>2100</v>
      </c>
    </row>
    <row r="48" spans="1:13" x14ac:dyDescent="0.35">
      <c r="A48" s="71"/>
      <c r="B48" s="71"/>
      <c r="C48" s="260" t="s">
        <v>116</v>
      </c>
      <c r="D48" s="260"/>
      <c r="E48" s="74">
        <v>3055</v>
      </c>
      <c r="F48" s="74">
        <v>5850</v>
      </c>
      <c r="G48" s="75">
        <v>11086351</v>
      </c>
      <c r="H48" s="74">
        <v>2875</v>
      </c>
      <c r="I48" s="74">
        <v>5291</v>
      </c>
      <c r="J48" s="75">
        <v>10519982</v>
      </c>
      <c r="K48" s="74">
        <v>3096</v>
      </c>
      <c r="L48" s="74">
        <v>5683</v>
      </c>
      <c r="M48" s="75">
        <v>11189472</v>
      </c>
    </row>
    <row r="49" spans="1:13" x14ac:dyDescent="0.35">
      <c r="A49" s="71"/>
      <c r="B49" s="71"/>
      <c r="C49" s="260" t="s">
        <v>117</v>
      </c>
      <c r="D49" s="260"/>
      <c r="E49" s="74">
        <v>913</v>
      </c>
      <c r="F49" s="74">
        <v>1548</v>
      </c>
      <c r="G49" s="75">
        <v>288052</v>
      </c>
      <c r="H49" s="74">
        <v>1167</v>
      </c>
      <c r="I49" s="74">
        <v>2002</v>
      </c>
      <c r="J49" s="75">
        <v>356464</v>
      </c>
      <c r="K49" s="74">
        <v>1264</v>
      </c>
      <c r="L49" s="74">
        <v>1653</v>
      </c>
      <c r="M49" s="75">
        <v>411381</v>
      </c>
    </row>
    <row r="50" spans="1:13" x14ac:dyDescent="0.35">
      <c r="A50" s="71"/>
      <c r="B50" s="71"/>
      <c r="C50" s="260" t="s">
        <v>118</v>
      </c>
      <c r="D50" s="260"/>
      <c r="E50" s="74"/>
      <c r="F50" s="74"/>
      <c r="G50" s="75"/>
      <c r="H50" s="74">
        <v>475</v>
      </c>
      <c r="I50" s="74">
        <v>812</v>
      </c>
      <c r="J50" s="75">
        <v>880943</v>
      </c>
      <c r="K50" s="74">
        <v>352</v>
      </c>
      <c r="L50" s="74">
        <v>601</v>
      </c>
      <c r="M50" s="75">
        <v>666229</v>
      </c>
    </row>
    <row r="51" spans="1:13" x14ac:dyDescent="0.35">
      <c r="A51" s="71"/>
      <c r="B51" s="260" t="s">
        <v>119</v>
      </c>
      <c r="C51" s="260"/>
      <c r="D51" s="260"/>
      <c r="E51" s="74">
        <v>153</v>
      </c>
      <c r="F51" s="74">
        <v>435</v>
      </c>
      <c r="G51" s="75">
        <v>969827</v>
      </c>
      <c r="H51" s="74">
        <v>145</v>
      </c>
      <c r="I51" s="74">
        <v>417</v>
      </c>
      <c r="J51" s="75">
        <v>955011</v>
      </c>
      <c r="K51" s="74">
        <v>130</v>
      </c>
      <c r="L51" s="74">
        <v>375</v>
      </c>
      <c r="M51" s="75">
        <v>868881</v>
      </c>
    </row>
    <row r="52" spans="1:13" x14ac:dyDescent="0.35">
      <c r="A52" s="71"/>
      <c r="B52" s="71"/>
      <c r="C52" s="260" t="s">
        <v>120</v>
      </c>
      <c r="D52" s="260"/>
      <c r="E52" s="74">
        <v>143</v>
      </c>
      <c r="F52" s="74">
        <v>242</v>
      </c>
      <c r="G52" s="75">
        <v>509454</v>
      </c>
      <c r="H52" s="74">
        <v>138</v>
      </c>
      <c r="I52" s="74">
        <v>230</v>
      </c>
      <c r="J52" s="75">
        <v>490152</v>
      </c>
      <c r="K52" s="74">
        <v>114</v>
      </c>
      <c r="L52" s="74">
        <v>192</v>
      </c>
      <c r="M52" s="75">
        <v>407624</v>
      </c>
    </row>
    <row r="53" spans="1:13" x14ac:dyDescent="0.35">
      <c r="A53" s="71"/>
      <c r="B53" s="71"/>
      <c r="C53" s="260" t="s">
        <v>121</v>
      </c>
      <c r="D53" s="260"/>
      <c r="E53" s="74">
        <v>111</v>
      </c>
      <c r="F53" s="74">
        <v>193</v>
      </c>
      <c r="G53" s="75">
        <v>460373</v>
      </c>
      <c r="H53" s="74">
        <v>108</v>
      </c>
      <c r="I53" s="74">
        <v>187</v>
      </c>
      <c r="J53" s="75">
        <v>464859</v>
      </c>
      <c r="K53" s="74">
        <v>107</v>
      </c>
      <c r="L53" s="74">
        <v>183</v>
      </c>
      <c r="M53" s="75">
        <v>461257</v>
      </c>
    </row>
    <row r="54" spans="1:13" x14ac:dyDescent="0.35">
      <c r="A54" s="71"/>
      <c r="B54" s="260" t="s">
        <v>122</v>
      </c>
      <c r="C54" s="260"/>
      <c r="D54" s="260"/>
      <c r="E54" s="74">
        <v>78</v>
      </c>
      <c r="F54" s="74">
        <v>112</v>
      </c>
      <c r="G54" s="75">
        <v>121310</v>
      </c>
      <c r="H54" s="74">
        <v>110</v>
      </c>
      <c r="I54" s="74">
        <v>138</v>
      </c>
      <c r="J54" s="75">
        <v>134885</v>
      </c>
      <c r="K54" s="74">
        <v>74</v>
      </c>
      <c r="L54" s="74">
        <v>92</v>
      </c>
      <c r="M54" s="75">
        <v>94321</v>
      </c>
    </row>
    <row r="55" spans="1:13" x14ac:dyDescent="0.35">
      <c r="A55" s="71"/>
      <c r="B55" s="71"/>
      <c r="C55" s="260" t="s">
        <v>123</v>
      </c>
      <c r="D55" s="260"/>
      <c r="E55" s="74">
        <v>2</v>
      </c>
      <c r="F55" s="74">
        <v>2</v>
      </c>
      <c r="G55" s="75">
        <v>1300</v>
      </c>
      <c r="H55" s="74">
        <v>39</v>
      </c>
      <c r="I55" s="74">
        <v>39</v>
      </c>
      <c r="J55" s="75">
        <v>18202</v>
      </c>
      <c r="K55" s="74">
        <v>7</v>
      </c>
      <c r="L55" s="74">
        <v>8</v>
      </c>
      <c r="M55" s="75">
        <v>5400</v>
      </c>
    </row>
    <row r="56" spans="1:13" x14ac:dyDescent="0.35">
      <c r="A56" s="71"/>
      <c r="B56" s="71"/>
      <c r="C56" s="260" t="s">
        <v>124</v>
      </c>
      <c r="D56" s="260"/>
      <c r="E56" s="74">
        <v>64</v>
      </c>
      <c r="F56" s="74">
        <v>89</v>
      </c>
      <c r="G56" s="75">
        <v>109283</v>
      </c>
      <c r="H56" s="74">
        <v>67</v>
      </c>
      <c r="I56" s="74">
        <v>88</v>
      </c>
      <c r="J56" s="75">
        <v>111868</v>
      </c>
      <c r="K56" s="74">
        <v>58</v>
      </c>
      <c r="L56" s="74">
        <v>74</v>
      </c>
      <c r="M56" s="75">
        <v>84107</v>
      </c>
    </row>
    <row r="57" spans="1:13" x14ac:dyDescent="0.35">
      <c r="A57" s="71"/>
      <c r="B57" s="71"/>
      <c r="C57" s="260" t="s">
        <v>125</v>
      </c>
      <c r="D57" s="260"/>
      <c r="E57" s="74">
        <v>12</v>
      </c>
      <c r="F57" s="74">
        <v>21</v>
      </c>
      <c r="G57" s="75">
        <v>10727</v>
      </c>
      <c r="H57" s="74">
        <v>7</v>
      </c>
      <c r="I57" s="74">
        <v>11</v>
      </c>
      <c r="J57" s="75">
        <v>4815</v>
      </c>
      <c r="K57" s="74">
        <v>10</v>
      </c>
      <c r="L57" s="74">
        <v>10</v>
      </c>
      <c r="M57" s="75">
        <v>4814</v>
      </c>
    </row>
    <row r="58" spans="1:13" x14ac:dyDescent="0.35">
      <c r="A58" s="71"/>
      <c r="B58" s="260" t="s">
        <v>126</v>
      </c>
      <c r="C58" s="260"/>
      <c r="D58" s="260"/>
      <c r="E58" s="74">
        <v>45</v>
      </c>
      <c r="F58" s="74">
        <v>90</v>
      </c>
      <c r="G58" s="75">
        <v>130586</v>
      </c>
      <c r="H58" s="74">
        <v>42</v>
      </c>
      <c r="I58" s="74">
        <v>85</v>
      </c>
      <c r="J58" s="75">
        <v>148326</v>
      </c>
      <c r="K58" s="74">
        <v>33</v>
      </c>
      <c r="L58" s="74">
        <v>73</v>
      </c>
      <c r="M58" s="75">
        <v>148629</v>
      </c>
    </row>
    <row r="59" spans="1:13" x14ac:dyDescent="0.35">
      <c r="A59" s="71"/>
      <c r="B59" s="71"/>
      <c r="C59" s="260" t="s">
        <v>127</v>
      </c>
      <c r="D59" s="260"/>
      <c r="E59" s="74">
        <v>45</v>
      </c>
      <c r="F59" s="74">
        <v>88</v>
      </c>
      <c r="G59" s="75">
        <v>129091</v>
      </c>
      <c r="H59" s="74">
        <v>42</v>
      </c>
      <c r="I59" s="74">
        <v>81</v>
      </c>
      <c r="J59" s="75">
        <v>142811</v>
      </c>
      <c r="K59" s="74">
        <v>33</v>
      </c>
      <c r="L59" s="74">
        <v>68</v>
      </c>
      <c r="M59" s="75">
        <v>144867</v>
      </c>
    </row>
    <row r="60" spans="1:13" x14ac:dyDescent="0.35">
      <c r="A60" s="71"/>
      <c r="B60" s="71"/>
      <c r="C60" s="260" t="s">
        <v>128</v>
      </c>
      <c r="D60" s="260"/>
      <c r="E60" s="74">
        <v>1</v>
      </c>
      <c r="F60" s="74">
        <v>2</v>
      </c>
      <c r="G60" s="75">
        <v>1495</v>
      </c>
      <c r="H60" s="74">
        <v>2</v>
      </c>
      <c r="I60" s="74">
        <v>4</v>
      </c>
      <c r="J60" s="75">
        <v>5515</v>
      </c>
      <c r="K60" s="74">
        <v>4</v>
      </c>
      <c r="L60" s="74">
        <v>5</v>
      </c>
      <c r="M60" s="75">
        <v>3762</v>
      </c>
    </row>
    <row r="61" spans="1:13" x14ac:dyDescent="0.35">
      <c r="A61" s="260" t="s">
        <v>129</v>
      </c>
      <c r="B61" s="260"/>
      <c r="C61" s="260"/>
      <c r="D61" s="260"/>
      <c r="E61" s="74">
        <v>4117</v>
      </c>
      <c r="F61" s="74">
        <v>12260</v>
      </c>
      <c r="G61" s="75">
        <v>9734634</v>
      </c>
      <c r="H61" s="74">
        <v>3889</v>
      </c>
      <c r="I61" s="74">
        <v>12534</v>
      </c>
      <c r="J61" s="75">
        <v>10185723</v>
      </c>
      <c r="K61" s="74">
        <v>3961</v>
      </c>
      <c r="L61" s="74">
        <v>14001</v>
      </c>
      <c r="M61" s="75">
        <v>11016230</v>
      </c>
    </row>
    <row r="62" spans="1:13" x14ac:dyDescent="0.35">
      <c r="A62" s="71"/>
      <c r="B62" s="260" t="s">
        <v>98</v>
      </c>
      <c r="C62" s="260"/>
      <c r="D62" s="260"/>
      <c r="E62" s="74">
        <v>3983</v>
      </c>
      <c r="F62" s="74">
        <v>7179</v>
      </c>
      <c r="G62" s="75">
        <v>2815821</v>
      </c>
      <c r="H62" s="74">
        <v>3770</v>
      </c>
      <c r="I62" s="74">
        <v>6863</v>
      </c>
      <c r="J62" s="75">
        <v>2753836</v>
      </c>
      <c r="K62" s="74">
        <v>3816</v>
      </c>
      <c r="L62" s="74">
        <v>6959</v>
      </c>
      <c r="M62" s="75">
        <v>2795604</v>
      </c>
    </row>
    <row r="63" spans="1:13" x14ac:dyDescent="0.35">
      <c r="A63" s="71"/>
      <c r="B63" s="71"/>
      <c r="C63" s="260" t="s">
        <v>99</v>
      </c>
      <c r="D63" s="260"/>
      <c r="E63" s="74"/>
      <c r="F63" s="74"/>
      <c r="G63" s="75"/>
      <c r="H63" s="74"/>
      <c r="I63" s="74"/>
      <c r="J63" s="75"/>
      <c r="K63" s="74">
        <v>1</v>
      </c>
      <c r="L63" s="74">
        <v>2</v>
      </c>
      <c r="M63" s="75">
        <v>1242</v>
      </c>
    </row>
    <row r="64" spans="1:13" x14ac:dyDescent="0.35">
      <c r="A64" s="71"/>
      <c r="B64" s="71"/>
      <c r="C64" s="260" t="s">
        <v>100</v>
      </c>
      <c r="D64" s="260"/>
      <c r="E64" s="74">
        <v>1</v>
      </c>
      <c r="F64" s="74">
        <v>1</v>
      </c>
      <c r="G64" s="75">
        <v>138</v>
      </c>
      <c r="H64" s="74"/>
      <c r="I64" s="74"/>
      <c r="J64" s="75"/>
      <c r="K64" s="74"/>
      <c r="L64" s="74"/>
      <c r="M64" s="75"/>
    </row>
    <row r="65" spans="1:13" x14ac:dyDescent="0.35">
      <c r="A65" s="71"/>
      <c r="B65" s="71"/>
      <c r="C65" s="260" t="s">
        <v>101</v>
      </c>
      <c r="D65" s="260"/>
      <c r="E65" s="74">
        <v>8</v>
      </c>
      <c r="F65" s="74">
        <v>15</v>
      </c>
      <c r="G65" s="75">
        <v>2944</v>
      </c>
      <c r="H65" s="74">
        <v>5</v>
      </c>
      <c r="I65" s="74">
        <v>10</v>
      </c>
      <c r="J65" s="75">
        <v>2576</v>
      </c>
      <c r="K65" s="74">
        <v>5</v>
      </c>
      <c r="L65" s="74">
        <v>8</v>
      </c>
      <c r="M65" s="75">
        <v>1702</v>
      </c>
    </row>
    <row r="66" spans="1:13" x14ac:dyDescent="0.35">
      <c r="A66" s="71"/>
      <c r="B66" s="71"/>
      <c r="C66" s="260" t="s">
        <v>102</v>
      </c>
      <c r="D66" s="260"/>
      <c r="E66" s="74">
        <v>2</v>
      </c>
      <c r="F66" s="74">
        <v>3</v>
      </c>
      <c r="G66" s="75">
        <v>1012</v>
      </c>
      <c r="H66" s="74"/>
      <c r="I66" s="74"/>
      <c r="J66" s="75"/>
      <c r="K66" s="74">
        <v>1</v>
      </c>
      <c r="L66" s="74">
        <v>1</v>
      </c>
      <c r="M66" s="75">
        <v>138</v>
      </c>
    </row>
    <row r="67" spans="1:13" x14ac:dyDescent="0.35">
      <c r="A67" s="71"/>
      <c r="B67" s="71"/>
      <c r="C67" s="260" t="s">
        <v>103</v>
      </c>
      <c r="D67" s="260"/>
      <c r="E67" s="74">
        <v>263</v>
      </c>
      <c r="F67" s="74">
        <v>426</v>
      </c>
      <c r="G67" s="75">
        <v>145084</v>
      </c>
      <c r="H67" s="74">
        <v>207</v>
      </c>
      <c r="I67" s="74">
        <v>343</v>
      </c>
      <c r="J67" s="75">
        <v>120796</v>
      </c>
      <c r="K67" s="74">
        <v>162</v>
      </c>
      <c r="L67" s="74">
        <v>266</v>
      </c>
      <c r="M67" s="75">
        <v>85123</v>
      </c>
    </row>
    <row r="68" spans="1:13" x14ac:dyDescent="0.35">
      <c r="A68" s="71"/>
      <c r="B68" s="71"/>
      <c r="C68" s="260" t="s">
        <v>104</v>
      </c>
      <c r="D68" s="260"/>
      <c r="E68" s="74">
        <v>3690</v>
      </c>
      <c r="F68" s="74">
        <v>6661</v>
      </c>
      <c r="G68" s="75">
        <v>2633477</v>
      </c>
      <c r="H68" s="74">
        <v>3532</v>
      </c>
      <c r="I68" s="74">
        <v>6455</v>
      </c>
      <c r="J68" s="75">
        <v>2603646</v>
      </c>
      <c r="K68" s="74">
        <v>3617</v>
      </c>
      <c r="L68" s="74">
        <v>6621</v>
      </c>
      <c r="M68" s="75">
        <v>2683456</v>
      </c>
    </row>
    <row r="69" spans="1:13" x14ac:dyDescent="0.35">
      <c r="A69" s="71"/>
      <c r="B69" s="71"/>
      <c r="C69" s="260" t="s">
        <v>130</v>
      </c>
      <c r="D69" s="260"/>
      <c r="E69" s="74"/>
      <c r="F69" s="74"/>
      <c r="G69" s="75"/>
      <c r="H69" s="74">
        <v>1</v>
      </c>
      <c r="I69" s="74">
        <v>2</v>
      </c>
      <c r="J69" s="75">
        <v>1334</v>
      </c>
      <c r="K69" s="74"/>
      <c r="L69" s="74"/>
      <c r="M69" s="75"/>
    </row>
    <row r="70" spans="1:13" x14ac:dyDescent="0.35">
      <c r="A70" s="71"/>
      <c r="B70" s="71"/>
      <c r="C70" s="260" t="s">
        <v>105</v>
      </c>
      <c r="D70" s="260"/>
      <c r="E70" s="74">
        <v>40</v>
      </c>
      <c r="F70" s="74">
        <v>73</v>
      </c>
      <c r="G70" s="75">
        <v>33166</v>
      </c>
      <c r="H70" s="74">
        <v>31</v>
      </c>
      <c r="I70" s="74">
        <v>53</v>
      </c>
      <c r="J70" s="75">
        <v>25484</v>
      </c>
      <c r="K70" s="74">
        <v>34</v>
      </c>
      <c r="L70" s="74">
        <v>61</v>
      </c>
      <c r="M70" s="75">
        <v>23943</v>
      </c>
    </row>
    <row r="71" spans="1:13" x14ac:dyDescent="0.35">
      <c r="A71" s="71"/>
      <c r="B71" s="260" t="s">
        <v>106</v>
      </c>
      <c r="C71" s="260"/>
      <c r="D71" s="260"/>
      <c r="E71" s="74">
        <v>1618</v>
      </c>
      <c r="F71" s="74">
        <v>4679</v>
      </c>
      <c r="G71" s="75">
        <v>6415781</v>
      </c>
      <c r="H71" s="74">
        <v>1853</v>
      </c>
      <c r="I71" s="74">
        <v>5282</v>
      </c>
      <c r="J71" s="75">
        <v>6944930</v>
      </c>
      <c r="K71" s="74">
        <v>2274</v>
      </c>
      <c r="L71" s="74">
        <v>6763</v>
      </c>
      <c r="M71" s="75">
        <v>7815960</v>
      </c>
    </row>
    <row r="72" spans="1:13" x14ac:dyDescent="0.35">
      <c r="A72" s="71"/>
      <c r="B72" s="71"/>
      <c r="C72" s="260" t="s">
        <v>108</v>
      </c>
      <c r="D72" s="260"/>
      <c r="E72" s="74">
        <v>314</v>
      </c>
      <c r="F72" s="74">
        <v>545</v>
      </c>
      <c r="G72" s="75">
        <v>401907</v>
      </c>
      <c r="H72" s="74">
        <v>295</v>
      </c>
      <c r="I72" s="74">
        <v>519</v>
      </c>
      <c r="J72" s="75">
        <v>378081</v>
      </c>
      <c r="K72" s="74">
        <v>343</v>
      </c>
      <c r="L72" s="74">
        <v>588</v>
      </c>
      <c r="M72" s="75">
        <v>553356</v>
      </c>
    </row>
    <row r="73" spans="1:13" x14ac:dyDescent="0.35">
      <c r="A73" s="71"/>
      <c r="B73" s="71"/>
      <c r="C73" s="260" t="s">
        <v>109</v>
      </c>
      <c r="D73" s="260"/>
      <c r="E73" s="74">
        <v>9</v>
      </c>
      <c r="F73" s="74">
        <v>17</v>
      </c>
      <c r="G73" s="75">
        <v>7829</v>
      </c>
      <c r="H73" s="74">
        <v>16</v>
      </c>
      <c r="I73" s="74">
        <v>27</v>
      </c>
      <c r="J73" s="75">
        <v>11622</v>
      </c>
      <c r="K73" s="74">
        <v>18</v>
      </c>
      <c r="L73" s="74">
        <v>25</v>
      </c>
      <c r="M73" s="75">
        <v>18115</v>
      </c>
    </row>
    <row r="74" spans="1:13" x14ac:dyDescent="0.35">
      <c r="A74" s="71"/>
      <c r="B74" s="71"/>
      <c r="C74" s="260" t="s">
        <v>110</v>
      </c>
      <c r="D74" s="260"/>
      <c r="E74" s="74">
        <v>12</v>
      </c>
      <c r="F74" s="74">
        <v>17</v>
      </c>
      <c r="G74" s="75">
        <v>7000</v>
      </c>
      <c r="H74" s="74">
        <v>10</v>
      </c>
      <c r="I74" s="74">
        <v>14</v>
      </c>
      <c r="J74" s="75">
        <v>5504</v>
      </c>
      <c r="K74" s="74">
        <v>14</v>
      </c>
      <c r="L74" s="74">
        <v>21</v>
      </c>
      <c r="M74" s="75">
        <v>7600</v>
      </c>
    </row>
    <row r="75" spans="1:13" x14ac:dyDescent="0.35">
      <c r="A75" s="71"/>
      <c r="B75" s="71"/>
      <c r="C75" s="260" t="s">
        <v>111</v>
      </c>
      <c r="D75" s="260"/>
      <c r="E75" s="74">
        <v>4</v>
      </c>
      <c r="F75" s="74">
        <v>7</v>
      </c>
      <c r="G75" s="75">
        <v>17500</v>
      </c>
      <c r="H75" s="74">
        <v>6</v>
      </c>
      <c r="I75" s="74">
        <v>11</v>
      </c>
      <c r="J75" s="75">
        <v>27500</v>
      </c>
      <c r="K75" s="74">
        <v>8</v>
      </c>
      <c r="L75" s="74">
        <v>12</v>
      </c>
      <c r="M75" s="75">
        <v>30000</v>
      </c>
    </row>
    <row r="76" spans="1:13" x14ac:dyDescent="0.35">
      <c r="A76" s="71"/>
      <c r="B76" s="71"/>
      <c r="C76" s="260" t="s">
        <v>112</v>
      </c>
      <c r="D76" s="260"/>
      <c r="E76" s="74">
        <v>20</v>
      </c>
      <c r="F76" s="74">
        <v>29</v>
      </c>
      <c r="G76" s="75">
        <v>21750</v>
      </c>
      <c r="H76" s="74"/>
      <c r="I76" s="74"/>
      <c r="J76" s="75"/>
      <c r="K76" s="74"/>
      <c r="L76" s="74"/>
      <c r="M76" s="75"/>
    </row>
    <row r="77" spans="1:13" x14ac:dyDescent="0.35">
      <c r="A77" s="71"/>
      <c r="B77" s="71"/>
      <c r="C77" s="260" t="s">
        <v>131</v>
      </c>
      <c r="D77" s="260"/>
      <c r="E77" s="74"/>
      <c r="F77" s="74"/>
      <c r="G77" s="75"/>
      <c r="H77" s="74"/>
      <c r="I77" s="74"/>
      <c r="J77" s="75"/>
      <c r="K77" s="74">
        <v>1</v>
      </c>
      <c r="L77" s="74">
        <v>2</v>
      </c>
      <c r="M77" s="75">
        <v>1672</v>
      </c>
    </row>
    <row r="78" spans="1:13" x14ac:dyDescent="0.35">
      <c r="A78" s="71"/>
      <c r="B78" s="71"/>
      <c r="C78" s="260" t="s">
        <v>113</v>
      </c>
      <c r="D78" s="260"/>
      <c r="E78" s="74">
        <v>244</v>
      </c>
      <c r="F78" s="74">
        <v>410</v>
      </c>
      <c r="G78" s="75">
        <v>100275</v>
      </c>
      <c r="H78" s="74">
        <v>273</v>
      </c>
      <c r="I78" s="74">
        <v>414</v>
      </c>
      <c r="J78" s="75">
        <v>92678</v>
      </c>
      <c r="K78" s="74">
        <v>328</v>
      </c>
      <c r="L78" s="74">
        <v>526</v>
      </c>
      <c r="M78" s="75">
        <v>115237</v>
      </c>
    </row>
    <row r="79" spans="1:13" x14ac:dyDescent="0.35">
      <c r="A79" s="71"/>
      <c r="B79" s="71"/>
      <c r="C79" s="260" t="s">
        <v>114</v>
      </c>
      <c r="D79" s="260"/>
      <c r="E79" s="74">
        <v>236</v>
      </c>
      <c r="F79" s="74">
        <v>373</v>
      </c>
      <c r="G79" s="75">
        <v>186500</v>
      </c>
      <c r="H79" s="74"/>
      <c r="I79" s="74"/>
      <c r="J79" s="75"/>
      <c r="K79" s="74"/>
      <c r="L79" s="74"/>
      <c r="M79" s="75"/>
    </row>
    <row r="80" spans="1:13" x14ac:dyDescent="0.35">
      <c r="A80" s="71"/>
      <c r="B80" s="71"/>
      <c r="C80" s="260" t="s">
        <v>115</v>
      </c>
      <c r="D80" s="260"/>
      <c r="E80" s="74"/>
      <c r="F80" s="74"/>
      <c r="G80" s="75"/>
      <c r="H80" s="74">
        <v>601</v>
      </c>
      <c r="I80" s="74">
        <v>757</v>
      </c>
      <c r="J80" s="75">
        <v>368700</v>
      </c>
      <c r="K80" s="74">
        <v>1104</v>
      </c>
      <c r="L80" s="74">
        <v>1756</v>
      </c>
      <c r="M80" s="75">
        <v>751150</v>
      </c>
    </row>
    <row r="81" spans="1:13" x14ac:dyDescent="0.35">
      <c r="A81" s="71"/>
      <c r="B81" s="71"/>
      <c r="C81" s="260" t="s">
        <v>116</v>
      </c>
      <c r="D81" s="260"/>
      <c r="E81" s="74">
        <v>1570</v>
      </c>
      <c r="F81" s="74">
        <v>2959</v>
      </c>
      <c r="G81" s="75">
        <v>5576420</v>
      </c>
      <c r="H81" s="74">
        <v>1541</v>
      </c>
      <c r="I81" s="74">
        <v>2836</v>
      </c>
      <c r="J81" s="75">
        <v>5550991</v>
      </c>
      <c r="K81" s="74">
        <v>1640</v>
      </c>
      <c r="L81" s="74">
        <v>2973</v>
      </c>
      <c r="M81" s="75">
        <v>5741110</v>
      </c>
    </row>
    <row r="82" spans="1:13" x14ac:dyDescent="0.35">
      <c r="A82" s="71"/>
      <c r="B82" s="71"/>
      <c r="C82" s="260" t="s">
        <v>117</v>
      </c>
      <c r="D82" s="260"/>
      <c r="E82" s="74">
        <v>192</v>
      </c>
      <c r="F82" s="74">
        <v>322</v>
      </c>
      <c r="G82" s="75">
        <v>96600</v>
      </c>
      <c r="H82" s="74">
        <v>218</v>
      </c>
      <c r="I82" s="74">
        <v>362</v>
      </c>
      <c r="J82" s="75">
        <v>108600</v>
      </c>
      <c r="K82" s="74">
        <v>296</v>
      </c>
      <c r="L82" s="74">
        <v>478</v>
      </c>
      <c r="M82" s="75">
        <v>143400</v>
      </c>
    </row>
    <row r="83" spans="1:13" x14ac:dyDescent="0.35">
      <c r="A83" s="71"/>
      <c r="B83" s="71"/>
      <c r="C83" s="260" t="s">
        <v>118</v>
      </c>
      <c r="D83" s="260"/>
      <c r="E83" s="74"/>
      <c r="F83" s="74"/>
      <c r="G83" s="75"/>
      <c r="H83" s="74">
        <v>218</v>
      </c>
      <c r="I83" s="74">
        <v>342</v>
      </c>
      <c r="J83" s="75">
        <v>401254</v>
      </c>
      <c r="K83" s="74">
        <v>244</v>
      </c>
      <c r="L83" s="74">
        <v>382</v>
      </c>
      <c r="M83" s="75">
        <v>454320</v>
      </c>
    </row>
    <row r="84" spans="1:13" x14ac:dyDescent="0.35">
      <c r="A84" s="71"/>
      <c r="B84" s="260" t="s">
        <v>119</v>
      </c>
      <c r="C84" s="260"/>
      <c r="D84" s="260"/>
      <c r="E84" s="74">
        <v>44</v>
      </c>
      <c r="F84" s="74">
        <v>119</v>
      </c>
      <c r="G84" s="75">
        <v>247856</v>
      </c>
      <c r="H84" s="74">
        <v>33</v>
      </c>
      <c r="I84" s="74">
        <v>88</v>
      </c>
      <c r="J84" s="75">
        <v>193472</v>
      </c>
      <c r="K84" s="74">
        <v>18</v>
      </c>
      <c r="L84" s="74">
        <v>47</v>
      </c>
      <c r="M84" s="75">
        <v>108071</v>
      </c>
    </row>
    <row r="85" spans="1:13" x14ac:dyDescent="0.35">
      <c r="A85" s="71"/>
      <c r="B85" s="71"/>
      <c r="C85" s="260" t="s">
        <v>120</v>
      </c>
      <c r="D85" s="260"/>
      <c r="E85" s="74">
        <v>40</v>
      </c>
      <c r="F85" s="74">
        <v>66</v>
      </c>
      <c r="G85" s="75">
        <v>134295</v>
      </c>
      <c r="H85" s="74">
        <v>27</v>
      </c>
      <c r="I85" s="74">
        <v>46</v>
      </c>
      <c r="J85" s="75">
        <v>100807</v>
      </c>
      <c r="K85" s="74">
        <v>16</v>
      </c>
      <c r="L85" s="74">
        <v>29</v>
      </c>
      <c r="M85" s="75">
        <v>55448</v>
      </c>
    </row>
    <row r="86" spans="1:13" x14ac:dyDescent="0.35">
      <c r="A86" s="71"/>
      <c r="B86" s="71"/>
      <c r="C86" s="260" t="s">
        <v>121</v>
      </c>
      <c r="D86" s="260"/>
      <c r="E86" s="74">
        <v>30</v>
      </c>
      <c r="F86" s="74">
        <v>53</v>
      </c>
      <c r="G86" s="75">
        <v>113561</v>
      </c>
      <c r="H86" s="74">
        <v>26</v>
      </c>
      <c r="I86" s="74">
        <v>42</v>
      </c>
      <c r="J86" s="75">
        <v>92665</v>
      </c>
      <c r="K86" s="74">
        <v>10</v>
      </c>
      <c r="L86" s="74">
        <v>18</v>
      </c>
      <c r="M86" s="75">
        <v>52623</v>
      </c>
    </row>
    <row r="87" spans="1:13" x14ac:dyDescent="0.35">
      <c r="A87" s="71"/>
      <c r="B87" s="260" t="s">
        <v>122</v>
      </c>
      <c r="C87" s="260"/>
      <c r="D87" s="260"/>
      <c r="E87" s="74">
        <v>151</v>
      </c>
      <c r="F87" s="74">
        <v>229</v>
      </c>
      <c r="G87" s="75">
        <v>172393</v>
      </c>
      <c r="H87" s="74">
        <v>138</v>
      </c>
      <c r="I87" s="74">
        <v>210</v>
      </c>
      <c r="J87" s="75">
        <v>162255</v>
      </c>
      <c r="K87" s="74">
        <v>103</v>
      </c>
      <c r="L87" s="74">
        <v>171</v>
      </c>
      <c r="M87" s="75">
        <v>198513</v>
      </c>
    </row>
    <row r="88" spans="1:13" x14ac:dyDescent="0.35">
      <c r="A88" s="71"/>
      <c r="B88" s="71"/>
      <c r="C88" s="260" t="s">
        <v>123</v>
      </c>
      <c r="D88" s="260"/>
      <c r="E88" s="74">
        <v>64</v>
      </c>
      <c r="F88" s="74">
        <v>68</v>
      </c>
      <c r="G88" s="75">
        <v>59610</v>
      </c>
      <c r="H88" s="74">
        <v>59</v>
      </c>
      <c r="I88" s="74">
        <v>62</v>
      </c>
      <c r="J88" s="75">
        <v>68200</v>
      </c>
      <c r="K88" s="74">
        <v>17</v>
      </c>
      <c r="L88" s="74">
        <v>17</v>
      </c>
      <c r="M88" s="75">
        <v>94250</v>
      </c>
    </row>
    <row r="89" spans="1:13" x14ac:dyDescent="0.35">
      <c r="A89" s="71"/>
      <c r="B89" s="71"/>
      <c r="C89" s="260" t="s">
        <v>124</v>
      </c>
      <c r="D89" s="260"/>
      <c r="E89" s="74">
        <v>72</v>
      </c>
      <c r="F89" s="74">
        <v>106</v>
      </c>
      <c r="G89" s="75">
        <v>85283</v>
      </c>
      <c r="H89" s="74">
        <v>60</v>
      </c>
      <c r="I89" s="74">
        <v>89</v>
      </c>
      <c r="J89" s="75">
        <v>61055</v>
      </c>
      <c r="K89" s="74">
        <v>60</v>
      </c>
      <c r="L89" s="74">
        <v>94</v>
      </c>
      <c r="M89" s="75">
        <v>68263</v>
      </c>
    </row>
    <row r="90" spans="1:13" x14ac:dyDescent="0.35">
      <c r="A90" s="71"/>
      <c r="B90" s="71"/>
      <c r="C90" s="260" t="s">
        <v>125</v>
      </c>
      <c r="D90" s="260"/>
      <c r="E90" s="74">
        <v>28</v>
      </c>
      <c r="F90" s="74">
        <v>55</v>
      </c>
      <c r="G90" s="75">
        <v>27500</v>
      </c>
      <c r="H90" s="74">
        <v>34</v>
      </c>
      <c r="I90" s="74">
        <v>59</v>
      </c>
      <c r="J90" s="75">
        <v>33000</v>
      </c>
      <c r="K90" s="74">
        <v>31</v>
      </c>
      <c r="L90" s="74">
        <v>60</v>
      </c>
      <c r="M90" s="75">
        <v>36000</v>
      </c>
    </row>
    <row r="91" spans="1:13" x14ac:dyDescent="0.35">
      <c r="A91" s="71"/>
      <c r="B91" s="260" t="s">
        <v>126</v>
      </c>
      <c r="C91" s="260"/>
      <c r="D91" s="260"/>
      <c r="E91" s="74">
        <v>23</v>
      </c>
      <c r="F91" s="74">
        <v>54</v>
      </c>
      <c r="G91" s="75">
        <v>82783</v>
      </c>
      <c r="H91" s="74">
        <v>39</v>
      </c>
      <c r="I91" s="74">
        <v>91</v>
      </c>
      <c r="J91" s="75">
        <v>131230</v>
      </c>
      <c r="K91" s="74">
        <v>29</v>
      </c>
      <c r="L91" s="74">
        <v>61</v>
      </c>
      <c r="M91" s="75">
        <v>98082</v>
      </c>
    </row>
    <row r="92" spans="1:13" x14ac:dyDescent="0.35">
      <c r="A92" s="71"/>
      <c r="B92" s="71"/>
      <c r="C92" s="260" t="s">
        <v>127</v>
      </c>
      <c r="D92" s="260"/>
      <c r="E92" s="74">
        <v>23</v>
      </c>
      <c r="F92" s="74">
        <v>46</v>
      </c>
      <c r="G92" s="75">
        <v>67694</v>
      </c>
      <c r="H92" s="74">
        <v>39</v>
      </c>
      <c r="I92" s="74">
        <v>80</v>
      </c>
      <c r="J92" s="75">
        <v>118004</v>
      </c>
      <c r="K92" s="74">
        <v>29</v>
      </c>
      <c r="L92" s="74">
        <v>56</v>
      </c>
      <c r="M92" s="75">
        <v>87708</v>
      </c>
    </row>
    <row r="93" spans="1:13" x14ac:dyDescent="0.35">
      <c r="A93" s="71"/>
      <c r="B93" s="71"/>
      <c r="C93" s="260" t="s">
        <v>128</v>
      </c>
      <c r="D93" s="260"/>
      <c r="E93" s="74">
        <v>4</v>
      </c>
      <c r="F93" s="74">
        <v>8</v>
      </c>
      <c r="G93" s="75">
        <v>15089</v>
      </c>
      <c r="H93" s="74">
        <v>6</v>
      </c>
      <c r="I93" s="74">
        <v>11</v>
      </c>
      <c r="J93" s="75">
        <v>13226</v>
      </c>
      <c r="K93" s="74">
        <v>2</v>
      </c>
      <c r="L93" s="74">
        <v>5</v>
      </c>
      <c r="M93" s="75">
        <v>10374</v>
      </c>
    </row>
  </sheetData>
  <mergeCells count="72">
    <mergeCell ref="N16:O16"/>
    <mergeCell ref="C36:D36"/>
    <mergeCell ref="A5:B5"/>
    <mergeCell ref="D5:E5"/>
    <mergeCell ref="G5:H5"/>
    <mergeCell ref="J5:K5"/>
    <mergeCell ref="A29:D29"/>
    <mergeCell ref="B30:D30"/>
    <mergeCell ref="C31:D31"/>
    <mergeCell ref="C32:D32"/>
    <mergeCell ref="C33:D33"/>
    <mergeCell ref="C34:D34"/>
    <mergeCell ref="C35:D35"/>
    <mergeCell ref="C48:D48"/>
    <mergeCell ref="C37:D37"/>
    <mergeCell ref="B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B51:D51"/>
    <mergeCell ref="C52:D52"/>
    <mergeCell ref="C53:D53"/>
    <mergeCell ref="B54:D54"/>
    <mergeCell ref="C55:D55"/>
    <mergeCell ref="C56:D56"/>
    <mergeCell ref="C57:D57"/>
    <mergeCell ref="B58:D58"/>
    <mergeCell ref="C59:D59"/>
    <mergeCell ref="C72:D72"/>
    <mergeCell ref="A61:D61"/>
    <mergeCell ref="B62:D62"/>
    <mergeCell ref="C63:D63"/>
    <mergeCell ref="C64:D64"/>
    <mergeCell ref="C65:D65"/>
    <mergeCell ref="C66:D66"/>
    <mergeCell ref="C67:D67"/>
    <mergeCell ref="C68:D68"/>
    <mergeCell ref="C69:D69"/>
    <mergeCell ref="C70:D70"/>
    <mergeCell ref="B71:D71"/>
    <mergeCell ref="B84:D84"/>
    <mergeCell ref="C73:D73"/>
    <mergeCell ref="C74:D74"/>
    <mergeCell ref="C75:D75"/>
    <mergeCell ref="C76:D76"/>
    <mergeCell ref="C77:D77"/>
    <mergeCell ref="C78:D78"/>
    <mergeCell ref="B91:D91"/>
    <mergeCell ref="C92:D92"/>
    <mergeCell ref="C93:D93"/>
    <mergeCell ref="N4:O4"/>
    <mergeCell ref="N11:O11"/>
    <mergeCell ref="C85:D85"/>
    <mergeCell ref="C86:D86"/>
    <mergeCell ref="B87:D87"/>
    <mergeCell ref="C88:D88"/>
    <mergeCell ref="C89:D89"/>
    <mergeCell ref="C90:D90"/>
    <mergeCell ref="C79:D79"/>
    <mergeCell ref="C80:D80"/>
    <mergeCell ref="C81:D81"/>
    <mergeCell ref="C82:D82"/>
    <mergeCell ref="C83:D8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topLeftCell="A10" zoomScaleNormal="100" workbookViewId="0">
      <selection activeCell="F31" sqref="F31"/>
    </sheetView>
  </sheetViews>
  <sheetFormatPr defaultRowHeight="14.5" x14ac:dyDescent="0.35"/>
  <cols>
    <col min="1" max="1" width="19.26953125" bestFit="1" customWidth="1"/>
    <col min="2" max="2" width="15.26953125" customWidth="1"/>
    <col min="3" max="3" width="13.1796875" customWidth="1"/>
    <col min="4" max="4" width="13.26953125" bestFit="1" customWidth="1"/>
    <col min="5" max="5" width="13.26953125" customWidth="1"/>
    <col min="6" max="6" width="26.453125" customWidth="1"/>
    <col min="7" max="7" width="26.26953125" customWidth="1"/>
  </cols>
  <sheetData>
    <row r="1" spans="1:7" x14ac:dyDescent="0.35">
      <c r="A1" s="261" t="s">
        <v>82</v>
      </c>
      <c r="B1" s="261"/>
      <c r="C1" s="261"/>
      <c r="D1" s="261"/>
      <c r="E1" s="261"/>
    </row>
    <row r="2" spans="1:7" s="39" customFormat="1" ht="29" x14ac:dyDescent="0.35">
      <c r="B2" s="39" t="s">
        <v>35</v>
      </c>
      <c r="C2" s="39" t="s">
        <v>37</v>
      </c>
      <c r="D2" s="39" t="s">
        <v>38</v>
      </c>
      <c r="E2" s="39" t="s">
        <v>39</v>
      </c>
      <c r="F2" s="40" t="s">
        <v>83</v>
      </c>
      <c r="G2" s="40" t="s">
        <v>84</v>
      </c>
    </row>
    <row r="4" spans="1:7" x14ac:dyDescent="0.35">
      <c r="A4" t="s">
        <v>0</v>
      </c>
      <c r="B4" s="38">
        <f>B15+B26</f>
        <v>15129.130000000001</v>
      </c>
      <c r="C4" s="38">
        <f t="shared" ref="C4:E4" si="0">C15+C26</f>
        <v>16416.019999999997</v>
      </c>
      <c r="D4" s="38">
        <f t="shared" si="0"/>
        <v>16416.019999999997</v>
      </c>
      <c r="E4" s="38">
        <f t="shared" si="0"/>
        <v>15964.313333333335</v>
      </c>
      <c r="F4" s="42">
        <f>SUM(B4:D4)/3</f>
        <v>15987.056666666665</v>
      </c>
      <c r="G4" s="42">
        <f>SUM(C4:E4)/3</f>
        <v>16265.451111111111</v>
      </c>
    </row>
    <row r="5" spans="1:7" x14ac:dyDescent="0.35">
      <c r="A5" t="s">
        <v>30</v>
      </c>
      <c r="B5" s="38">
        <f t="shared" ref="B5:E8" si="1">B16+B27</f>
        <v>366.3</v>
      </c>
      <c r="C5" s="38">
        <f t="shared" si="1"/>
        <v>387.88</v>
      </c>
      <c r="D5" s="38">
        <f t="shared" si="1"/>
        <v>387.88</v>
      </c>
      <c r="E5" s="38">
        <f>E16+E27</f>
        <v>380.68666666666661</v>
      </c>
      <c r="F5" s="45"/>
      <c r="G5" s="45"/>
    </row>
    <row r="6" spans="1:7" x14ac:dyDescent="0.35">
      <c r="A6" t="s">
        <v>76</v>
      </c>
      <c r="B6" s="38">
        <f t="shared" si="1"/>
        <v>0</v>
      </c>
      <c r="C6" s="38">
        <f t="shared" si="1"/>
        <v>0</v>
      </c>
      <c r="D6" s="38">
        <f t="shared" si="1"/>
        <v>0</v>
      </c>
      <c r="E6" s="38">
        <f t="shared" si="1"/>
        <v>0</v>
      </c>
      <c r="F6" s="44">
        <f>+F4-F5</f>
        <v>15987.056666666665</v>
      </c>
      <c r="G6" s="44">
        <f>SUM(G4:G5)</f>
        <v>16265.451111111111</v>
      </c>
    </row>
    <row r="7" spans="1:7" x14ac:dyDescent="0.35">
      <c r="A7" t="s">
        <v>1</v>
      </c>
      <c r="B7" s="38">
        <f t="shared" si="1"/>
        <v>170.56</v>
      </c>
      <c r="C7" s="38">
        <f t="shared" si="1"/>
        <v>360.1</v>
      </c>
      <c r="D7" s="38">
        <f t="shared" si="1"/>
        <v>360.1</v>
      </c>
      <c r="E7" s="38">
        <f t="shared" si="1"/>
        <v>144</v>
      </c>
      <c r="F7" s="42"/>
    </row>
    <row r="8" spans="1:7" x14ac:dyDescent="0.35">
      <c r="A8" t="s">
        <v>2</v>
      </c>
      <c r="B8" s="38">
        <f t="shared" si="1"/>
        <v>0</v>
      </c>
      <c r="C8" s="38">
        <f t="shared" si="1"/>
        <v>0</v>
      </c>
      <c r="D8" s="38">
        <f t="shared" si="1"/>
        <v>0</v>
      </c>
      <c r="E8" s="38">
        <f t="shared" si="1"/>
        <v>0</v>
      </c>
      <c r="F8" s="46"/>
    </row>
    <row r="9" spans="1:7" ht="15" thickBot="1" x14ac:dyDescent="0.4">
      <c r="A9" s="37" t="s">
        <v>23</v>
      </c>
      <c r="B9" s="41">
        <f>SUM(B4:B8)</f>
        <v>15665.99</v>
      </c>
      <c r="C9" s="41">
        <f>SUM(C4:C8)</f>
        <v>17163.999999999996</v>
      </c>
      <c r="D9" s="41">
        <f>SUM(D4:D8)</f>
        <v>17163.999999999996</v>
      </c>
      <c r="E9" s="41">
        <f>SUM(E4:E8)</f>
        <v>16489</v>
      </c>
      <c r="F9" s="47"/>
    </row>
    <row r="10" spans="1:7" ht="15" thickTop="1" x14ac:dyDescent="0.35">
      <c r="F10" s="48"/>
    </row>
    <row r="11" spans="1:7" x14ac:dyDescent="0.35">
      <c r="B11" s="42"/>
      <c r="C11" s="42"/>
    </row>
    <row r="12" spans="1:7" x14ac:dyDescent="0.35">
      <c r="A12" s="261" t="s">
        <v>75</v>
      </c>
      <c r="B12" s="261"/>
      <c r="C12" s="261"/>
      <c r="D12" s="261"/>
      <c r="E12" s="261"/>
    </row>
    <row r="13" spans="1:7" s="39" customFormat="1" ht="29" x14ac:dyDescent="0.35">
      <c r="B13" s="63" t="s">
        <v>35</v>
      </c>
      <c r="C13" s="63" t="s">
        <v>37</v>
      </c>
      <c r="D13" s="63" t="s">
        <v>38</v>
      </c>
      <c r="E13" s="63" t="s">
        <v>39</v>
      </c>
      <c r="F13" s="40" t="s">
        <v>83</v>
      </c>
      <c r="G13" s="40" t="s">
        <v>84</v>
      </c>
    </row>
    <row r="15" spans="1:7" x14ac:dyDescent="0.35">
      <c r="A15" t="s">
        <v>0</v>
      </c>
      <c r="B15" s="38">
        <f>8926.99-B16-B18-B17-B19</f>
        <v>8657.56</v>
      </c>
      <c r="C15" s="38">
        <f>10063.63-C16-C17-C18-C19</f>
        <v>9572.7599999999984</v>
      </c>
      <c r="D15" s="38">
        <f>10063.63-D16-D17-D18-D19</f>
        <v>9572.7599999999984</v>
      </c>
      <c r="E15" s="38">
        <f>9534-E16-E17-E18-E19</f>
        <v>9262.753333333334</v>
      </c>
      <c r="F15" s="42">
        <f>SUM(B15:D15)/3</f>
        <v>9267.6933333333327</v>
      </c>
      <c r="G15" s="42">
        <f>SUM(C15:E15)/3</f>
        <v>9469.424444444443</v>
      </c>
    </row>
    <row r="16" spans="1:7" x14ac:dyDescent="0.35">
      <c r="A16" t="s">
        <v>30</v>
      </c>
      <c r="B16" s="38">
        <v>156.86000000000001</v>
      </c>
      <c r="C16" s="38">
        <v>178.44</v>
      </c>
      <c r="D16" s="38">
        <v>178.44</v>
      </c>
      <c r="E16" s="38">
        <f>AVERAGE(B16:D16)</f>
        <v>171.24666666666667</v>
      </c>
      <c r="F16" s="45"/>
      <c r="G16" s="45"/>
    </row>
    <row r="17" spans="1:7" x14ac:dyDescent="0.35">
      <c r="A17" t="s">
        <v>76</v>
      </c>
      <c r="B17" s="38">
        <v>0</v>
      </c>
      <c r="C17" s="38">
        <v>0</v>
      </c>
      <c r="D17" s="38">
        <v>0</v>
      </c>
      <c r="E17" s="38">
        <v>0</v>
      </c>
      <c r="F17" s="44">
        <f>+F15-F16</f>
        <v>9267.6933333333327</v>
      </c>
      <c r="G17" s="44">
        <f>SUM(G15:G16)</f>
        <v>9469.424444444443</v>
      </c>
    </row>
    <row r="18" spans="1:7" x14ac:dyDescent="0.35">
      <c r="A18" t="s">
        <v>1</v>
      </c>
      <c r="B18" s="38">
        <v>112.57</v>
      </c>
      <c r="C18" s="38">
        <v>312.43</v>
      </c>
      <c r="D18" s="38">
        <v>312.43</v>
      </c>
      <c r="E18" s="38">
        <v>100</v>
      </c>
      <c r="F18" s="42"/>
    </row>
    <row r="19" spans="1:7" x14ac:dyDescent="0.35">
      <c r="A19" t="s">
        <v>2</v>
      </c>
      <c r="B19" s="38">
        <v>0</v>
      </c>
      <c r="C19" s="38">
        <v>0</v>
      </c>
      <c r="D19" s="38">
        <v>0</v>
      </c>
      <c r="E19" s="38">
        <v>0</v>
      </c>
      <c r="F19" s="46"/>
    </row>
    <row r="20" spans="1:7" ht="15" thickBot="1" x14ac:dyDescent="0.4">
      <c r="A20" s="37" t="s">
        <v>23</v>
      </c>
      <c r="B20" s="41">
        <f>SUM(B15:B19)</f>
        <v>8926.99</v>
      </c>
      <c r="C20" s="41">
        <f>SUM(C15:C19)</f>
        <v>10063.629999999999</v>
      </c>
      <c r="D20" s="41">
        <f>SUM(D15:D19)</f>
        <v>10063.629999999999</v>
      </c>
      <c r="E20" s="41">
        <f>SUM(E15:E19)</f>
        <v>9534</v>
      </c>
      <c r="F20" s="267">
        <f>E20/E9</f>
        <v>0.57820365091879433</v>
      </c>
    </row>
    <row r="21" spans="1:7" ht="15" thickTop="1" x14ac:dyDescent="0.35"/>
    <row r="23" spans="1:7" x14ac:dyDescent="0.35">
      <c r="A23" s="261" t="s">
        <v>81</v>
      </c>
      <c r="B23" s="261"/>
      <c r="C23" s="261"/>
      <c r="D23" s="261"/>
      <c r="E23" s="261"/>
    </row>
    <row r="24" spans="1:7" s="39" customFormat="1" ht="29" x14ac:dyDescent="0.35">
      <c r="B24" s="63" t="s">
        <v>35</v>
      </c>
      <c r="C24" s="63" t="s">
        <v>37</v>
      </c>
      <c r="D24" s="63" t="s">
        <v>38</v>
      </c>
      <c r="E24" s="63" t="s">
        <v>39</v>
      </c>
      <c r="F24" s="40" t="s">
        <v>83</v>
      </c>
      <c r="G24" s="40" t="s">
        <v>84</v>
      </c>
    </row>
    <row r="26" spans="1:7" x14ac:dyDescent="0.35">
      <c r="A26" t="s">
        <v>0</v>
      </c>
      <c r="B26" s="38">
        <f>6739-B27-B28-B29-B30</f>
        <v>6471.5700000000006</v>
      </c>
      <c r="C26" s="38">
        <f>7100.37-C27-C28-C29-C30</f>
        <v>6843.26</v>
      </c>
      <c r="D26" s="38">
        <f>7100.37-D27-D28-D29-D30</f>
        <v>6843.26</v>
      </c>
      <c r="E26" s="38">
        <f>6955-E27-E28-E29-E30</f>
        <v>6701.56</v>
      </c>
      <c r="F26" s="42">
        <f>SUM(B26:D26)/3</f>
        <v>6719.3633333333346</v>
      </c>
      <c r="G26" s="42">
        <f>SUM(C26:E26)/3</f>
        <v>6796.0266666666676</v>
      </c>
    </row>
    <row r="27" spans="1:7" x14ac:dyDescent="0.35">
      <c r="A27" t="s">
        <v>30</v>
      </c>
      <c r="B27" s="38">
        <v>209.44</v>
      </c>
      <c r="C27" s="38">
        <v>209.44</v>
      </c>
      <c r="D27" s="38">
        <v>209.44</v>
      </c>
      <c r="E27" s="38">
        <f>AVERAGE(B27:D27)</f>
        <v>209.43999999999997</v>
      </c>
      <c r="F27" s="45"/>
      <c r="G27" s="45"/>
    </row>
    <row r="28" spans="1:7" x14ac:dyDescent="0.35">
      <c r="A28" t="s">
        <v>76</v>
      </c>
      <c r="B28" s="38">
        <v>0</v>
      </c>
      <c r="C28" s="38">
        <v>0</v>
      </c>
      <c r="D28" s="38">
        <v>0</v>
      </c>
      <c r="E28" s="38">
        <v>0</v>
      </c>
      <c r="F28" s="44">
        <f>+F26-F27</f>
        <v>6719.3633333333346</v>
      </c>
      <c r="G28" s="44">
        <f>SUM(G26:G27)</f>
        <v>6796.0266666666676</v>
      </c>
    </row>
    <row r="29" spans="1:7" x14ac:dyDescent="0.35">
      <c r="A29" t="s">
        <v>1</v>
      </c>
      <c r="B29" s="38">
        <v>57.99</v>
      </c>
      <c r="C29" s="38">
        <v>47.67</v>
      </c>
      <c r="D29" s="38">
        <v>47.67</v>
      </c>
      <c r="E29" s="38">
        <v>44</v>
      </c>
      <c r="F29" s="42"/>
    </row>
    <row r="30" spans="1:7" x14ac:dyDescent="0.35">
      <c r="A30" t="s">
        <v>2</v>
      </c>
      <c r="B30" s="38">
        <v>0</v>
      </c>
      <c r="C30" s="38">
        <v>0</v>
      </c>
      <c r="D30" s="38">
        <v>0</v>
      </c>
      <c r="E30" s="38">
        <v>0</v>
      </c>
      <c r="F30" s="46"/>
    </row>
    <row r="31" spans="1:7" ht="15" thickBot="1" x14ac:dyDescent="0.4">
      <c r="A31" s="37" t="s">
        <v>23</v>
      </c>
      <c r="B31" s="41">
        <f>SUM(B26:B30)</f>
        <v>6739</v>
      </c>
      <c r="C31" s="41">
        <f>SUM(C26:C30)</f>
        <v>7100.37</v>
      </c>
      <c r="D31" s="41">
        <f>SUM(D26:D30)</f>
        <v>7100.37</v>
      </c>
      <c r="E31" s="41">
        <f>SUM(E26:E30)</f>
        <v>6955</v>
      </c>
      <c r="F31" s="267">
        <f>E31/E9</f>
        <v>0.42179634908120567</v>
      </c>
    </row>
    <row r="32" spans="1:7" ht="15" thickTop="1" x14ac:dyDescent="0.35"/>
    <row r="34" spans="2:5" x14ac:dyDescent="0.35">
      <c r="B34" s="42"/>
      <c r="C34" s="42"/>
      <c r="D34" s="42"/>
      <c r="E34" s="42"/>
    </row>
  </sheetData>
  <mergeCells count="3">
    <mergeCell ref="A12:E12"/>
    <mergeCell ref="A23:E23"/>
    <mergeCell ref="A1:E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Allocation Model Summary</vt:lpstr>
      <vt:lpstr>Allocation Model Detail</vt:lpstr>
      <vt:lpstr>District Summary 21-22</vt:lpstr>
      <vt:lpstr>LPC 21-22</vt:lpstr>
      <vt:lpstr>CC 21-22</vt:lpstr>
      <vt:lpstr>CLPCCD 21-22</vt:lpstr>
      <vt:lpstr>Success Allocation</vt:lpstr>
      <vt:lpstr>Supplemental Allocation</vt:lpstr>
      <vt:lpstr>FTES Allocation</vt:lpstr>
      <vt:lpstr>Variable Table</vt:lpstr>
    </vt:vector>
  </TitlesOfParts>
  <Company>Santa Monica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bonvenuto_chris</dc:creator>
  <cp:lastModifiedBy>Jonah Nicholas</cp:lastModifiedBy>
  <cp:lastPrinted>2021-03-17T03:45:08Z</cp:lastPrinted>
  <dcterms:created xsi:type="dcterms:W3CDTF">2016-03-21T16:20:44Z</dcterms:created>
  <dcterms:modified xsi:type="dcterms:W3CDTF">2021-09-16T23:25:37Z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